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15"/>
  <workbookPr defaultThemeVersion="124226"/>
  <mc:AlternateContent xmlns:mc="http://schemas.openxmlformats.org/markup-compatibility/2006">
    <mc:Choice Requires="x15">
      <x15ac:absPath xmlns:x15ac="http://schemas.microsoft.com/office/spreadsheetml/2010/11/ac" url="https://d.docs.live.net/dbaeb09543eb57a6/Adam Loiacono - Work/Education/PTM/Tiered Assets/PREMIUM Assets/"/>
    </mc:Choice>
  </mc:AlternateContent>
  <xr:revisionPtr revIDLastSave="69" documentId="8_{D4290D52-96E6-4A4E-A766-4C37A4571BB0}" xr6:coauthVersionLast="47" xr6:coauthVersionMax="47" xr10:uidLastSave="{6C331EEC-F75F-6E4A-AEE0-05B3FE4EA6E1}"/>
  <bookViews>
    <workbookView xWindow="10480" yWindow="600" windowWidth="24860" windowHeight="20000" xr2:uid="{00000000-000D-0000-FFFF-FFFF00000000}"/>
  </bookViews>
  <sheets>
    <sheet name="Welcome" sheetId="11" r:id="rId1"/>
    <sheet name="Dashboard" sheetId="1" r:id="rId2"/>
    <sheet name="Heart Rate Zones" sheetId="3" r:id="rId3"/>
    <sheet name="30IFT Setup" sheetId="7" r:id="rId4"/>
    <sheet name="Beep Test Setup" sheetId="10" r:id="rId5"/>
    <sheet name="Calculations Explained" sheetId="5" r:id="rId6"/>
    <sheet name="Do Not Touch - Settings" sheetId="2" r:id="rId7"/>
    <sheet name="Do Not Touch - Backend" sheetId="6" r:id="rId8"/>
  </sheets>
  <definedNames>
    <definedName name="AgeY">Dashboard!$B$13</definedName>
    <definedName name="ApplyProg">Dashboard!$B$19</definedName>
    <definedName name="ASR_CAP_H">'Do Not Touch - Settings'!$B$24</definedName>
    <definedName name="ASR_CAP_L">'Do Not Touch - Settings'!$B$23</definedName>
    <definedName name="ASR_TL_H">'Do Not Touch - Settings'!$B$26</definedName>
    <definedName name="ASR_TL_L">'Do Not Touch - Settings'!$B$25</definedName>
    <definedName name="ASR_TS_H">'Do Not Touch - Settings'!$B$28</definedName>
    <definedName name="ASR_TS_L">'Do Not Touch - Settings'!$B$27</definedName>
    <definedName name="ASR_VO2_H">'Do Not Touch - Settings'!$B$30</definedName>
    <definedName name="ASR_VO2_L">'Do Not Touch - Settings'!$B$29</definedName>
    <definedName name="Beep_Speed">Dashboard!$B$6</definedName>
    <definedName name="Beep_Speed_Eff">'Do Not Touch - Backend'!$B$2</definedName>
    <definedName name="Beep_Speed_FromStage">'Do Not Touch - Backend'!$B$1</definedName>
    <definedName name="Beep_Stage">Dashboard!$B$5</definedName>
    <definedName name="BeepEq">Dashboard!#REF!</definedName>
    <definedName name="DashCategory">Dashboard!$B$18</definedName>
    <definedName name="DashTest">Dashboard!$B$3</definedName>
    <definedName name="HRM_A_H">'Do Not Touch - Settings'!$B$4</definedName>
    <definedName name="HRM_A_L">'Do Not Touch - Settings'!$B$3</definedName>
    <definedName name="HRM_T_H">'Do Not Touch - Settings'!$B$6</definedName>
    <definedName name="HRM_T_L">'Do Not Touch - Settings'!$B$5</definedName>
    <definedName name="HRM_V_H">'Do Not Touch - Settings'!$B$8</definedName>
    <definedName name="HRM_V_L">'Do Not Touch - Settings'!$B$7</definedName>
    <definedName name="HRmax">'Do Not Touch - Backend'!$B$9</definedName>
    <definedName name="HRMethod">Dashboard!$B$15</definedName>
    <definedName name="HRR">'Do Not Touch - Backend'!$B$10</definedName>
    <definedName name="HRR_A_H">'Do Not Touch - Settings'!$B$10</definedName>
    <definedName name="HRR_A_L">'Do Not Touch - Settings'!$B$9</definedName>
    <definedName name="HRR_T_H">'Do Not Touch - Settings'!$B$12</definedName>
    <definedName name="HRR_T_L">'Do Not Touch - Settings'!$B$11</definedName>
    <definedName name="HRR_V_H">'Do Not Touch - Settings'!$B$14</definedName>
    <definedName name="HRR_V_L">'Do Not Touch - Settings'!$B$13</definedName>
    <definedName name="IFT_Factor_In">Dashboard!$B$8</definedName>
    <definedName name="IFT_VIFT">Dashboard!#REF!</definedName>
    <definedName name="MAS_CAP_H">'Do Not Touch - Settings'!$B$16</definedName>
    <definedName name="MAS_CAP_L">'Do Not Touch - Settings'!$B$15</definedName>
    <definedName name="MAS_TL_H">'Do Not Touch - Settings'!$B$18</definedName>
    <definedName name="MAS_TL_L">'Do Not Touch - Settings'!$B$17</definedName>
    <definedName name="MAS_TS_H">'Do Not Touch - Settings'!$B$20</definedName>
    <definedName name="MAS_TS_L">'Do Not Touch - Settings'!$B$19</definedName>
    <definedName name="MAS_VO2_H">'Do Not Touch - Settings'!$B$22</definedName>
    <definedName name="MAS_VO2_L">'Do Not Touch - Settings'!$B$21</definedName>
    <definedName name="MASFactor">'Do Not Touch - Backend'!$B$3</definedName>
    <definedName name="MASFactorDefault">'Do Not Touch - Settings'!$B$2</definedName>
    <definedName name="MASkmh">'Do Not Touch - Backend'!$B$6</definedName>
    <definedName name="MASmph">'Do Not Touch - Backend'!$B$8</definedName>
    <definedName name="MASms">'Do Not Touch - Backend'!$B$7</definedName>
    <definedName name="Mile_Time">Dashboard!$B$10</definedName>
    <definedName name="MileMin">'Do Not Touch - Backend'!$B$5</definedName>
    <definedName name="MileSec">'Do Not Touch - Backend'!$B$4</definedName>
    <definedName name="_xlnm.Print_Area" localSheetId="0">Welcome!$A$1:$I$18</definedName>
    <definedName name="RestHR">Dashboard!$B$14</definedName>
    <definedName name="Sprint20">Dashboard!$B$16</definedName>
    <definedName name="TrainMethod">Dashboard!$B$17</definedName>
    <definedName name="UMTT_Speed">Dashboard!$B$4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6" l="1"/>
  <c r="B11" i="6" s="1"/>
  <c r="B23" i="6"/>
  <c r="B29" i="1" s="1"/>
  <c r="B31" i="6"/>
  <c r="B32" i="6"/>
  <c r="B33" i="6"/>
  <c r="B34" i="6"/>
  <c r="B1" i="6"/>
  <c r="B7" i="1" s="1"/>
  <c r="B6" i="6" s="1"/>
  <c r="B3" i="6"/>
  <c r="B63" i="6"/>
  <c r="B62" i="6"/>
  <c r="B61" i="6"/>
  <c r="B5" i="6"/>
  <c r="B4" i="6"/>
  <c r="B22" i="6" l="1"/>
  <c r="B42" i="6" s="1"/>
  <c r="B15" i="6"/>
  <c r="B14" i="6"/>
  <c r="B13" i="6"/>
  <c r="B12" i="6"/>
  <c r="E2" i="3" s="1"/>
  <c r="B7" i="6"/>
  <c r="B36" i="6"/>
  <c r="B38" i="6" s="1"/>
  <c r="B16" i="6"/>
  <c r="B2" i="6"/>
  <c r="B24" i="6"/>
  <c r="B25" i="6"/>
  <c r="B10" i="6"/>
  <c r="B17" i="6" s="1"/>
  <c r="B26" i="6"/>
  <c r="B35" i="6"/>
  <c r="B8" i="6"/>
  <c r="B22" i="1"/>
  <c r="E4" i="3"/>
  <c r="G4" i="3"/>
  <c r="B40" i="1"/>
  <c r="D2" i="3"/>
  <c r="B25" i="1"/>
  <c r="E3" i="3"/>
  <c r="D4" i="3"/>
  <c r="D3" i="3"/>
  <c r="B28" i="6" l="1"/>
  <c r="B31" i="1"/>
  <c r="B40" i="6"/>
  <c r="B20" i="6"/>
  <c r="G3" i="3" s="1"/>
  <c r="B18" i="6"/>
  <c r="G2" i="3" s="1"/>
  <c r="B19" i="6"/>
  <c r="B21" i="6"/>
  <c r="B41" i="6" s="1"/>
  <c r="B27" i="6"/>
  <c r="B39" i="6"/>
  <c r="B37" i="6"/>
  <c r="B23" i="1"/>
  <c r="B24" i="1"/>
  <c r="B32" i="1"/>
  <c r="B30" i="1"/>
  <c r="B28" i="1" l="1"/>
  <c r="B39" i="1"/>
  <c r="B27" i="1"/>
  <c r="B33" i="1"/>
  <c r="B34" i="1"/>
  <c r="B36" i="1"/>
  <c r="B37" i="1"/>
  <c r="B38" i="1"/>
  <c r="B26" i="1"/>
  <c r="F4" i="3"/>
  <c r="F2" i="3"/>
  <c r="F3" i="3"/>
</calcChain>
</file>

<file path=xl/sharedStrings.xml><?xml version="1.0" encoding="utf-8"?>
<sst xmlns="http://schemas.openxmlformats.org/spreadsheetml/2006/main" count="240" uniqueCount="237">
  <si>
    <t>UMTT Final Speed (km/h)</t>
  </si>
  <si>
    <t>30-15 VIFT (km/h)</t>
  </si>
  <si>
    <t>1-mile time (mm:ss)</t>
  </si>
  <si>
    <t>Age (years)</t>
  </si>
  <si>
    <t>Resting HR (bpm)</t>
  </si>
  <si>
    <t>HR Method</t>
  </si>
  <si>
    <t>Training Method</t>
  </si>
  <si>
    <t>Training Category</t>
  </si>
  <si>
    <t>Apply Dashboard to Program</t>
  </si>
  <si>
    <t>RESULTS</t>
  </si>
  <si>
    <t>MAS (km/h)</t>
  </si>
  <si>
    <t>MAS (m/s)</t>
  </si>
  <si>
    <t>MAS (mph)</t>
  </si>
  <si>
    <t>HRmax (bpm)</t>
  </si>
  <si>
    <t>Prescription — Target Speed (km/h)</t>
  </si>
  <si>
    <t>Prescription — Target Speed (mph)</t>
  </si>
  <si>
    <t>Prescription — Target Speed (m/s)</t>
  </si>
  <si>
    <t>Prescription — Target HR (bpm)</t>
  </si>
  <si>
    <t>Suggested Structures (3 options)</t>
  </si>
  <si>
    <t>Karvonen (HRR)</t>
  </si>
  <si>
    <t>Yes</t>
  </si>
  <si>
    <t>Setting</t>
  </si>
  <si>
    <t>Value</t>
  </si>
  <si>
    <t>30-15 MAS Factor (default)</t>
  </si>
  <si>
    <t>HR Zones (% of HRmax) - Aerobic low</t>
  </si>
  <si>
    <t>HR Zones (% of HRmax) - Aerobic high</t>
  </si>
  <si>
    <t>HR Zones (% of HRmax) - Threshold low</t>
  </si>
  <si>
    <t>HR Zones (% of HRmax) - Threshold high</t>
  </si>
  <si>
    <t>HR Zones (% of HRmax) - VO2 low</t>
  </si>
  <si>
    <t>HR Zones (% of HRmax) - VO2 high</t>
  </si>
  <si>
    <t>HR Zones (% of HRR) - Aerobic low</t>
  </si>
  <si>
    <t>HR Zones (% of HRR) - Aerobic high</t>
  </si>
  <si>
    <t>HR Zones (% of HRR) - Threshold low</t>
  </si>
  <si>
    <t>HR Zones (% of HRR) - Threshold high</t>
  </si>
  <si>
    <t>HR Zones (% of HRR) - VO2 low</t>
  </si>
  <si>
    <t>HR Zones (% of HRR) - VO2 high</t>
  </si>
  <si>
    <t>Category→%MAS low - Capacity</t>
  </si>
  <si>
    <t>Category→%MAS high - Capacity</t>
  </si>
  <si>
    <t>Category→%MAS low - Tempo Long</t>
  </si>
  <si>
    <t>Category→%MAS high - Tempo Long</t>
  </si>
  <si>
    <t>Category→%MAS low - Tempo Short</t>
  </si>
  <si>
    <t>Category→%MAS high - Tempo Short</t>
  </si>
  <si>
    <t>Category→%MAS low - VO2max</t>
  </si>
  <si>
    <t>Category→%MAS high - VO2max</t>
  </si>
  <si>
    <t>Category→%ASR low - Capacity</t>
  </si>
  <si>
    <t>Category→%ASR high - Capacity</t>
  </si>
  <si>
    <t>Category→%ASR low - Tempo Long</t>
  </si>
  <si>
    <t>Category→%ASR high - Tempo Long</t>
  </si>
  <si>
    <t>Category→%ASR low - Tempo Short</t>
  </si>
  <si>
    <t>Category→%ASR high - Tempo Short</t>
  </si>
  <si>
    <t>Category→%ASR low - VO2max</t>
  </si>
  <si>
    <t>Category→%ASR high - VO2max</t>
  </si>
  <si>
    <t>Zone</t>
  </si>
  <si>
    <t>Low %HRmax</t>
  </si>
  <si>
    <t>High %HRmax</t>
  </si>
  <si>
    <t>Low (bpm) – Karvonen</t>
  </si>
  <si>
    <t>High (bpm) – Karvonen</t>
  </si>
  <si>
    <t>Aerobic (Z1-2)</t>
  </si>
  <si>
    <t>Threshold (Z3)</t>
  </si>
  <si>
    <t>VO2 (Z4-5)</t>
  </si>
  <si>
    <t>Calculations Reference</t>
  </si>
  <si>
    <t>Maximal Aerobic Speed (MAS):</t>
  </si>
  <si>
    <t>• UMTT: MAS = last completed speed (km/h).</t>
  </si>
  <si>
    <t>• 20‑m Shuttle (Beep): Stage→Speed = 8.5 + 0.5×(Stage−1) (km/h).</t>
  </si>
  <si>
    <t>• 30‑15 IFT: MAS = Factor × VIFT (default Factor = 0.87).</t>
  </si>
  <si>
    <t>• 1‑Mile Run: MAS (m/s) = 1609 ÷ seconds; MAS (km/h) = (1609 ÷ seconds) × 3.6.</t>
  </si>
  <si>
    <t>VO₂max:</t>
  </si>
  <si>
    <t>• UMTT: VO₂max ≈ 3.5 × MAS (km/h).</t>
  </si>
  <si>
    <t>• 20‑m Shuttle (Léger): VO₂ = 5.857 × MAS − 19.458.</t>
  </si>
  <si>
    <t>• 20‑m Shuttle (Age‑adjusted / Stickland): VO₂ = 31.025 + 3.238×Speed − 3.248×Age + 0.1536×Age×Speed.</t>
  </si>
  <si>
    <t>• 30‑15 IFT (multivariable): VO₂ = 28.3×VIFT − 2.15×Age − 0.741×Wt + 0.0357×Ht + 0.58×Gender + 0.634×Fitness + 12.8.</t>
  </si>
  <si>
    <t>• 1‑Mile: VO₂ = 75.056 − 3.879 × minutes.</t>
  </si>
  <si>
    <t>Max Sprint Speed (MSS) and Anaerobic Speed Reserve (ASR):</t>
  </si>
  <si>
    <t>• MSS (km/h) = (20 m ÷ sprint time) × 3.6.</t>
  </si>
  <si>
    <t>• ASR (km/h) = MSS − MAS.</t>
  </si>
  <si>
    <t>Heart Rate Zones:</t>
  </si>
  <si>
    <t>• HRmax (Age‑predicted) = 220 − Age.</t>
  </si>
  <si>
    <t>• Karvonen/HRR: HRR = HRmax − RestHR; Target HR = HRR×Intensity + RestHR.</t>
  </si>
  <si>
    <t>• Zone ranges (3‑zone model): Aerobic (50–70%), Threshold (70–85%), VO₂ (85–95%) of HRmax or HRR.</t>
  </si>
  <si>
    <t>Programming Methods:</t>
  </si>
  <si>
    <t>• MAS method: Speed targets = %MAS ranges by category.</t>
  </si>
  <si>
    <t>• ASR method: Speed targets = MAS + %ASR × (MSS − MAS).</t>
  </si>
  <si>
    <t>• Heart Rate method: bpm targets from chosen HR zone model.</t>
  </si>
  <si>
    <t>Beep_Speed_FromStage</t>
  </si>
  <si>
    <t>Beep_Speed_Eff</t>
  </si>
  <si>
    <t>MASFactor</t>
  </si>
  <si>
    <t>MileSec</t>
  </si>
  <si>
    <t>MileMin</t>
  </si>
  <si>
    <t>MASkmh</t>
  </si>
  <si>
    <t>MASms</t>
  </si>
  <si>
    <t>MASmph</t>
  </si>
  <si>
    <t>HRmax</t>
  </si>
  <si>
    <t>HRR</t>
  </si>
  <si>
    <t>Aero_L_HRmax</t>
  </si>
  <si>
    <t>Aero_H_HRmax</t>
  </si>
  <si>
    <t>Thres_L_HRmax</t>
  </si>
  <si>
    <t>Thres_H_HRmax</t>
  </si>
  <si>
    <t>VO2_L_HRmax</t>
  </si>
  <si>
    <t>VO2_H_HRmax</t>
  </si>
  <si>
    <t>Aero_L_HRR</t>
  </si>
  <si>
    <t>Aero_H_HRR</t>
  </si>
  <si>
    <t>Thres_L_HRR</t>
  </si>
  <si>
    <t>Thres_H_HRR</t>
  </si>
  <si>
    <t>VO2_L_HRR</t>
  </si>
  <si>
    <t>VO2_H_HRR</t>
  </si>
  <si>
    <t>pMAS_L_D</t>
  </si>
  <si>
    <t>pMAS_H_D</t>
  </si>
  <si>
    <t>pASR_L_D</t>
  </si>
  <si>
    <t>pASR_H_D</t>
  </si>
  <si>
    <t>D_SpeedLow_kmh</t>
  </si>
  <si>
    <t>D_SpeedHigh_kmh</t>
  </si>
  <si>
    <t>D_SpeedLow_mph</t>
  </si>
  <si>
    <t>D_SpeedHigh_mph</t>
  </si>
  <si>
    <t>D_SpeedLow_ms</t>
  </si>
  <si>
    <t>D_SpeedHigh_ms</t>
  </si>
  <si>
    <t>D_HR_L</t>
  </si>
  <si>
    <t>D_HR_H</t>
  </si>
  <si>
    <t>S1</t>
  </si>
  <si>
    <t>S2</t>
  </si>
  <si>
    <t>S3</t>
  </si>
  <si>
    <t>HR Zone 1-2 (Aerobic) bpm range</t>
  </si>
  <si>
    <t>HR Zone 3 (Threshold) bpm range</t>
  </si>
  <si>
    <t>HR Zone 4-5 (VO2) bpm range</t>
  </si>
  <si>
    <t>MSSkmh</t>
  </si>
  <si>
    <t>MSSmph</t>
  </si>
  <si>
    <t>MSSms</t>
  </si>
  <si>
    <t>ASRkmh</t>
  </si>
  <si>
    <t>ASRmph</t>
  </si>
  <si>
    <t>ASRms</t>
  </si>
  <si>
    <t>ASR</t>
  </si>
  <si>
    <t>Max Sprint Speed (km/h)</t>
  </si>
  <si>
    <t>Max Sprint Speed (mile/h)</t>
  </si>
  <si>
    <t>Max Sprint Speed (m/s)</t>
  </si>
  <si>
    <t>Anaerobic Speed Reserve (km/h)</t>
  </si>
  <si>
    <t>Anaerobic Speed Reserve (mile/h)</t>
  </si>
  <si>
    <t>Anaerobic Speed Reserve (m/s)</t>
  </si>
  <si>
    <t>Select Test from Dropdown &gt;&gt;&gt;&gt;&gt;</t>
  </si>
  <si>
    <t>Input Score That Correllates with Selected Test below</t>
  </si>
  <si>
    <t xml:space="preserve">20 m sprint time (sec) </t>
  </si>
  <si>
    <t>DATA ENTRY AND PROGRAM DESIGN</t>
  </si>
  <si>
    <t>BEEP TEST</t>
  </si>
  <si>
    <r>
      <t xml:space="preserve">
</t>
    </r>
    <r>
      <rPr>
        <b/>
        <sz val="12"/>
        <color rgb="FF000000"/>
        <rFont val="Calibri"/>
        <family val="2"/>
        <scheme val="minor"/>
      </rPr>
      <t>INSTRUCTIONS</t>
    </r>
    <r>
      <rPr>
        <sz val="12"/>
        <color rgb="FF000000"/>
        <rFont val="Calibri"/>
        <family val="2"/>
        <scheme val="minor"/>
      </rPr>
      <t xml:space="preserve">
Set up the 30-15 IFT App on your phone and check that the volume is adjusted to a level that can be heard by
all athletes that are to be tested.
Instruct the athletes to perform a light warm-up and some stretching prior to the commencement of the test.
Gather the athletes together and explain how the test is performed taking care to highlight the important points.
Have all athletes set up in line with point A (0 metre mark).
Push the start button on the App and on the first beep (usually after a spoken set of test instructions) the athletes
must commence running in a direction toward points B and C. At the next beep the athletes should be at
approximately the 20 (or 14) metre mark (point B) and by the following beep they must be within the 3 metre
zone at the 40 metre end (ideally they would be at point C [40 or 28 metre mark] exactly). 
Note that when starting the 28-m test directly at 10 km/h, athletes need to start from line B.
The athletes then change direction and run back toward point A. At the next beep sound they should be close to
point B and so on. This running pattern is continued until the end of the 30 second running stage (which is
indicated by a different beep sound from the App).
After each 30 second running stage there is a 15 passive recovery where the athletes walk slowly in the same
direction that they have been running (i.e., forward direction) until they reach the next mark (A, B, or C).
Spoken instructions are provided informing the athletes were to commence the next 30 second period of running
(i.e., A, B or C). It is extremely important that the athletes do not walk backward to the closest marked point
(A, B, or C). They must walk in a forward direction to the next marked point in the 15 second passive recovery
period. 
If the athletes are exactly on a marked point when the running stage concludes then they simply stay at
that point and wait for the next run stage to begin.
Each successive running stage will increase in pace by 0·5 km.h-1 and athletes must continue running until either
a) they are totally exhausted and stop on their own volition, or b) they fail to be within the 3 metre end zones at
the beep on three successive occasions.
When one of these test termination criteria are achieved note down the running pace (in km.h-1) for that
particular athlete. This pace is designated as their VIFT (velocity for the intermittent fitness test).</t>
    </r>
  </si>
  <si>
    <r>
      <t xml:space="preserve">
</t>
    </r>
    <r>
      <rPr>
        <b/>
        <sz val="12"/>
        <color theme="1"/>
        <rFont val="Calibri"/>
        <family val="2"/>
        <scheme val="minor"/>
      </rPr>
      <t>INSTRUCTIONS</t>
    </r>
    <r>
      <rPr>
        <sz val="12"/>
        <color theme="1"/>
        <rFont val="Calibri"/>
        <family val="2"/>
        <scheme val="minor"/>
      </rPr>
      <t xml:space="preserve">
The test is comprised of 23 levels, each level lasting approximately one minute. 
The starting speed is 8.5 km/hr and increases by 0.5 km/hr at each level thereafter. As the individual progresses through the levels, the speed between the beeps decreases giving the individual less time to complete each shuttle, thus increasing the intensity. 
A single beep indicates the end of each shuttle, whilst three simultaneous beeps indicates the start of the next level.
Participants begin the test from the ‘start-line’ 
When instructed by the audio player, they must run towards the opposite 20m line within the sound of the beep. 
They must then run back and forth in this same pattern continuously until they reach voluntary exhaustion.
If the athlete fails to reach the opposite ‘turn-around’ line before the ‘beep’, the participant is issued with one failed attempt. 
If the athlete achieves two consecutive fail attempts, they are withdrawn from the test and their score is recorded as final. 
However, if the individual reaches the line before the second consecutive beep, their failed attempts are reset.
Once withdrawn from the test, the individual’s score must be recorded.</t>
    </r>
  </si>
  <si>
    <t>Level</t>
  </si>
  <si>
    <t>Shuttles</t>
  </si>
  <si>
    <t>Running Speed (km/h)</t>
  </si>
  <si>
    <t>Time per Shuttle (s)</t>
  </si>
  <si>
    <t>Total Level Time (s)</t>
  </si>
  <si>
    <t>Cumulative Time (min:sec)</t>
  </si>
  <si>
    <t>Distance per Level (m)</t>
  </si>
  <si>
    <t>Cumulative Distance (m)</t>
  </si>
  <si>
    <t>1:03</t>
  </si>
  <si>
    <t>2:07</t>
  </si>
  <si>
    <t>3:08</t>
  </si>
  <si>
    <t>4:12</t>
  </si>
  <si>
    <t>5:14</t>
  </si>
  <si>
    <t>6:20</t>
  </si>
  <si>
    <t>7:22</t>
  </si>
  <si>
    <t>8:28</t>
  </si>
  <si>
    <t>9:32</t>
  </si>
  <si>
    <t>10:32</t>
  </si>
  <si>
    <t>11:36</t>
  </si>
  <si>
    <t>12:38</t>
  </si>
  <si>
    <t>13:43</t>
  </si>
  <si>
    <t>14:45</t>
  </si>
  <si>
    <t>15:46</t>
  </si>
  <si>
    <t>16:49</t>
  </si>
  <si>
    <t>17:50</t>
  </si>
  <si>
    <t>18:53</t>
  </si>
  <si>
    <t>19:55</t>
  </si>
  <si>
    <t>20:59</t>
  </si>
  <si>
    <t>22:01</t>
  </si>
  <si>
    <t>Scoring Sheet</t>
  </si>
  <si>
    <t>30-15 Intermittent Fitness Test</t>
  </si>
  <si>
    <t>Performance Therapy Mentorship:
Fitness Planner</t>
  </si>
  <si>
    <t>Stage</t>
  </si>
  <si>
    <t>Running Speed (m/s)</t>
  </si>
  <si>
    <t>Work Time (s)</t>
  </si>
  <si>
    <t>Rest Time (s)</t>
  </si>
  <si>
    <t>Distance per Stage (m)</t>
  </si>
  <si>
    <t>Cumulative Time (mm:ss)</t>
  </si>
  <si>
    <t>0:45</t>
  </si>
  <si>
    <t>1:30</t>
  </si>
  <si>
    <t>2:15</t>
  </si>
  <si>
    <t>3:00</t>
  </si>
  <si>
    <t>3:45</t>
  </si>
  <si>
    <t>4:30</t>
  </si>
  <si>
    <t>5:15</t>
  </si>
  <si>
    <t>6:00</t>
  </si>
  <si>
    <t>6:45</t>
  </si>
  <si>
    <t>7:30</t>
  </si>
  <si>
    <t>8:15</t>
  </si>
  <si>
    <t>9:00</t>
  </si>
  <si>
    <t>9:45</t>
  </si>
  <si>
    <t>10:30</t>
  </si>
  <si>
    <t>11:15</t>
  </si>
  <si>
    <t>12:00</t>
  </si>
  <si>
    <t>12:45</t>
  </si>
  <si>
    <t>13:30</t>
  </si>
  <si>
    <t>14:15</t>
  </si>
  <si>
    <t>15:00</t>
  </si>
  <si>
    <t>15:45</t>
  </si>
  <si>
    <t>16:30</t>
  </si>
  <si>
    <t>17:15</t>
  </si>
  <si>
    <t>18:00</t>
  </si>
  <si>
    <t>18:45</t>
  </si>
  <si>
    <t>19:30</t>
  </si>
  <si>
    <t>20:15</t>
  </si>
  <si>
    <t>21:00</t>
  </si>
  <si>
    <t>21:45</t>
  </si>
  <si>
    <t>22:30</t>
  </si>
  <si>
    <t>📱Click Here to Download 30-15IFT App on iTunes 📱</t>
  </si>
  <si>
    <t>20 m Shuttle (Beep Test) Final Stage (number)</t>
  </si>
  <si>
    <t>20 m Shuttle (Beep Test) Final Speed (km/h)</t>
  </si>
  <si>
    <t>*if athlete is on Level 15, and fails at shuttle 9, then their score is 15.8 -&gt; input 15.8 into Dashboard</t>
  </si>
  <si>
    <t>30-15 MAS Factor Override</t>
  </si>
  <si>
    <t>Low (bpm) – Age</t>
  </si>
  <si>
    <t>High (bpm) –Age</t>
  </si>
  <si>
    <t>1-mile run</t>
  </si>
  <si>
    <t>Tempo Short Intervals</t>
  </si>
  <si>
    <t>STEP 2: INPUT AGE</t>
  </si>
  <si>
    <t>STEP 3: INPUT RHR</t>
  </si>
  <si>
    <t>STEP 4: CHOOSE METHOD</t>
  </si>
  <si>
    <t>STEP 6: CHOOSE METHODOLOGY</t>
  </si>
  <si>
    <t>STEP 7: CHOOSE TRAINING CATEGORY</t>
  </si>
  <si>
    <t>STEP 5: INPUT SPRINT TIME (if known)</t>
  </si>
  <si>
    <t>3 RECOMMENDED OPTIONS</t>
  </si>
  <si>
    <t>STEP 1: CHOOSE TEST + INPUT SCORE</t>
  </si>
  <si>
    <t>Performance Therapy Mentorship  |  www.AdamLoiacono.com</t>
  </si>
  <si>
    <t xml:space="preserve">  HOW TO GET STARTED</t>
  </si>
  <si>
    <t xml:space="preserve">  GO DEEPER</t>
  </si>
  <si>
    <t>Join the Performance Therapy Mentorship →
https://adamloiacono.com/performance-therapy-mentorship/</t>
  </si>
  <si>
    <t>Sign up for the weekly newsletter → adamloiacono.com
https://adamloiacono.com</t>
  </si>
  <si>
    <t>Welcome to the 
Fitness Calculator</t>
  </si>
  <si>
    <t>Most practitioners can assess an athlete. Fewer can turn that assessment into a training prescription the same day.
This calculator closes that gap. Take a fitness test result from a Beep Test, 30-15 IFT, UMTT, or 1-mile run and within minutes you have a complete, individualized training prescription built from the athlete's actual physiology, not a generic template.
The outputs go beyond a single number. Maximal Aerobic Speed anchors your speed-based programming. Anaerobic Speed Reserve tells you how much headroom exists between an athlete's aerobic ceiling and their top-end speed. Heart Rate Zones give you a parallel prescription for environments where GPS or speed measurement isn't available. Together, they create a full picture of where the athlete is right now and exactly where their training should live.
This tool reflects a core principle from the Performance Therapy Mentorship: assessment without prescription is just data collection. The moment you run a test, you should be able to hand the athlete a session. This calculator makes that possible.</t>
  </si>
  <si>
    <t>Go to the Dashboard tab. Select your test, enter the score, input age and resting heart rate, choose your HR method, add a sprint time if available, select your training methodology and category. The prescription populates automatically.</t>
  </si>
  <si>
    <t>This calculator is one tool from a larger system. The full framework of testing protocols, programming design, periodization, and injury integration lives inside the Performance Therapy Mentorship.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</si>
</sst>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sz val="12"/>
      <color theme="1"/>
      <name val="Calibri"/>
      <family val="2"/>
      <scheme val="minor"/>
    </font>
    <font>
      <sz val="12"/>
      <color theme="1"/>
      <name val="Calibri"/>
      <family val="2"/>
      <scheme val="minor"/>
    </font>
    <font>
      <b/>
      <sz val="16"/>
      <color rgb="FFFFFFFF"/>
      <name val="Calibri"/>
      <family val="2"/>
      <scheme val="minor"/>
    </font>
    <font>
      <b/>
      <sz val="11"/>
      <color rgb="FF222020"/>
      <name val="Calibri"/>
      <family val="2"/>
      <scheme val="minor"/>
    </font>
    <font>
      <b/>
      <sz val="11"/>
      <color rgb="FF38B6FF"/>
      <name val="Calibri"/>
      <family val="2"/>
      <scheme val="minor"/>
    </font>
    <font>
      <b/>
      <sz val="11"/>
      <color theme="1"/>
      <name val="Calibri"/>
      <family val="2"/>
      <scheme val="minor"/>
    </font>
    <font>
      <u/>
      <sz val="11"/>
      <color theme="10"/>
      <name val="Calibri"/>
      <family val="2"/>
      <scheme val="minor"/>
    </font>
    <font>
      <b/>
      <sz val="12"/>
      <color theme="0"/>
      <name val="Calibri"/>
      <family val="2"/>
      <scheme val="minor"/>
    </font>
    <font>
      <b/>
      <sz val="12"/>
      <color theme="1"/>
      <name val="Calibri"/>
      <family val="2"/>
      <scheme val="minor"/>
    </font>
    <font>
      <b/>
      <sz val="11"/>
      <color rgb="FF00B0F0"/>
      <name val="Calibri"/>
      <family val="2"/>
      <scheme val="minor"/>
    </font>
    <font>
      <sz val="11"/>
      <color rgb="FF000000"/>
      <name val="Calibri"/>
      <family val="2"/>
      <scheme val="minor"/>
    </font>
    <font>
      <b/>
      <i/>
      <sz val="11"/>
      <color theme="1"/>
      <name val="Calibri"/>
      <family val="2"/>
      <scheme val="minor"/>
    </font>
    <font>
      <b/>
      <sz val="14"/>
      <color rgb="FFFFFFFF"/>
      <name val="Calibri"/>
      <family val="2"/>
      <scheme val="minor"/>
    </font>
    <font>
      <b/>
      <sz val="16"/>
      <color theme="0"/>
      <name val="Calibri"/>
      <family val="2"/>
      <scheme val="minor"/>
    </font>
    <font>
      <b/>
      <sz val="22"/>
      <color theme="0"/>
      <name val="Calibri"/>
      <family val="2"/>
      <scheme val="minor"/>
    </font>
    <font>
      <sz val="12"/>
      <color rgb="FF000000"/>
      <name val="Calibri"/>
      <family val="2"/>
      <scheme val="minor"/>
    </font>
    <font>
      <b/>
      <sz val="12"/>
      <color rgb="FF000000"/>
      <name val="Calibri"/>
      <family val="2"/>
      <scheme val="minor"/>
    </font>
    <font>
      <sz val="14"/>
      <color theme="1"/>
      <name val="Calibri"/>
      <family val="2"/>
      <scheme val="minor"/>
    </font>
    <font>
      <u/>
      <sz val="26"/>
      <color theme="10"/>
      <name val="Calibri"/>
      <family val="2"/>
      <scheme val="minor"/>
    </font>
    <font>
      <b/>
      <i/>
      <sz val="12"/>
      <color theme="1"/>
      <name val="Calibri"/>
      <family val="2"/>
      <scheme val="minor"/>
    </font>
    <font>
      <b/>
      <sz val="11"/>
      <color theme="0"/>
      <name val="Calibri"/>
      <family val="2"/>
      <scheme val="minor"/>
    </font>
    <font>
      <b/>
      <sz val="26"/>
      <color rgb="FFFFFFFF"/>
      <name val="Arial"/>
      <family val="2"/>
    </font>
    <font>
      <sz val="26"/>
      <color theme="1"/>
      <name val="Calibri"/>
      <family val="2"/>
      <scheme val="minor"/>
    </font>
    <font>
      <i/>
      <sz val="14"/>
      <color theme="0"/>
      <name val="Arial"/>
      <family val="2"/>
    </font>
    <font>
      <sz val="14"/>
      <color theme="0"/>
      <name val="Calibri"/>
      <family val="2"/>
      <scheme val="minor"/>
    </font>
    <font>
      <sz val="12"/>
      <color theme="1"/>
      <name val="Arial"/>
      <family val="2"/>
    </font>
    <font>
      <b/>
      <sz val="16"/>
      <color theme="0"/>
      <name val="Arial"/>
      <family val="2"/>
    </font>
    <font>
      <sz val="16"/>
      <color theme="0"/>
      <name val="Calibri"/>
      <family val="2"/>
      <scheme val="minor"/>
    </font>
    <font>
      <b/>
      <sz val="14"/>
      <color rgb="FFFFFFFF"/>
      <name val="Arial"/>
      <family val="2"/>
    </font>
    <font>
      <b/>
      <u/>
      <sz val="14"/>
      <color theme="1"/>
      <name val="Arial"/>
      <family val="2"/>
    </font>
  </fonts>
  <fills count="17">
    <fill>
      <patternFill patternType="none"/>
    </fill>
    <fill>
      <patternFill patternType="gray125"/>
    </fill>
    <fill>
      <patternFill patternType="solid">
        <fgColor rgb="FF38B6FF"/>
        <bgColor indexed="64"/>
      </patternFill>
    </fill>
    <fill>
      <patternFill patternType="solid">
        <fgColor rgb="FF22202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8AF186"/>
        <bgColor indexed="64"/>
      </patternFill>
    </fill>
    <fill>
      <patternFill patternType="solid">
        <fgColor rgb="FFFFFF00"/>
        <bgColor indexed="64"/>
      </patternFill>
    </fill>
    <fill>
      <patternFill patternType="solid">
        <fgColor rgb="FFFF9D9D"/>
        <bgColor indexed="64"/>
      </patternFill>
    </fill>
    <fill>
      <patternFill patternType="solid">
        <fgColor theme="1"/>
        <bgColor indexed="64"/>
      </patternFill>
    </fill>
    <fill>
      <patternFill patternType="solid">
        <fgColor theme="0" tint="-0.34998626667073579"/>
        <bgColor indexed="64"/>
      </patternFill>
    </fill>
    <fill>
      <patternFill patternType="solid">
        <fgColor rgb="FFCEF1CF"/>
        <bgColor indexed="64"/>
      </patternFill>
    </fill>
    <fill>
      <patternFill patternType="solid">
        <fgColor rgb="FFFFFCCC"/>
        <bgColor indexed="64"/>
      </patternFill>
    </fill>
    <fill>
      <patternFill patternType="solid">
        <fgColor rgb="FFFFE6E1"/>
        <bgColor indexed="64"/>
      </patternFill>
    </fill>
    <fill>
      <patternFill patternType="solid">
        <fgColor rgb="FF00B0F0"/>
        <bgColor indexed="64"/>
      </patternFill>
    </fill>
    <fill>
      <patternFill patternType="solid">
        <fgColor rgb="FFFFFFFF"/>
      </patternFill>
    </fill>
    <fill>
      <patternFill patternType="solid">
        <fgColor rgb="FFB6E0FC"/>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diagonal/>
    </border>
    <border>
      <left/>
      <right style="thick">
        <color theme="1"/>
      </right>
      <top/>
      <bottom/>
      <diagonal/>
    </border>
    <border>
      <left style="thick">
        <color theme="1"/>
      </left>
      <right/>
      <top/>
      <bottom style="thick">
        <color theme="1"/>
      </bottom>
      <diagonal/>
    </border>
    <border>
      <left/>
      <right/>
      <top/>
      <bottom style="thick">
        <color theme="1"/>
      </bottom>
      <diagonal/>
    </border>
    <border>
      <left/>
      <right style="thick">
        <color theme="1"/>
      </right>
      <top/>
      <bottom style="thick">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0" fontId="7" fillId="0" borderId="0" applyNumberFormat="0" applyFill="0" applyBorder="0" applyAlignment="0" applyProtection="0"/>
  </cellStyleXfs>
  <cellXfs count="93">
    <xf numFmtId="0" fontId="0" fillId="0" borderId="0" xfId="0"/>
    <xf numFmtId="0" fontId="4" fillId="0" borderId="0" xfId="0" applyFont="1"/>
    <xf numFmtId="0" fontId="6" fillId="0" borderId="1" xfId="0" applyFont="1" applyBorder="1" applyAlignment="1">
      <alignment horizontal="center" vertical="top"/>
    </xf>
    <xf numFmtId="0" fontId="0" fillId="0" borderId="0" xfId="0" applyAlignment="1">
      <alignment horizontal="center"/>
    </xf>
    <xf numFmtId="0" fontId="10" fillId="0" borderId="0" xfId="0" applyFont="1" applyAlignment="1">
      <alignment horizontal="center"/>
    </xf>
    <xf numFmtId="164" fontId="0" fillId="0" borderId="0" xfId="0" applyNumberFormat="1"/>
    <xf numFmtId="164" fontId="11" fillId="0" borderId="0" xfId="0" applyNumberFormat="1" applyFont="1"/>
    <xf numFmtId="0" fontId="6" fillId="0" borderId="0" xfId="0" applyFont="1"/>
    <xf numFmtId="0" fontId="14" fillId="9" borderId="0" xfId="0" applyFont="1" applyFill="1" applyAlignment="1">
      <alignment horizontal="center"/>
    </xf>
    <xf numFmtId="0" fontId="8" fillId="9" borderId="0" xfId="0" applyFont="1" applyFill="1"/>
    <xf numFmtId="20" fontId="10" fillId="0" borderId="0" xfId="0" applyNumberFormat="1" applyFont="1" applyAlignment="1">
      <alignment horizontal="center"/>
    </xf>
    <xf numFmtId="0" fontId="16" fillId="0" borderId="0" xfId="0" applyFont="1" applyAlignment="1">
      <alignment vertical="top" wrapText="1"/>
    </xf>
    <xf numFmtId="0" fontId="6" fillId="0" borderId="2" xfId="0" applyFont="1" applyBorder="1" applyAlignment="1">
      <alignment horizontal="center" vertical="top"/>
    </xf>
    <xf numFmtId="0" fontId="13" fillId="3" borderId="3" xfId="0" applyFont="1" applyFill="1" applyBorder="1"/>
    <xf numFmtId="0" fontId="13" fillId="3" borderId="4" xfId="0" applyFont="1" applyFill="1" applyBorder="1"/>
    <xf numFmtId="0" fontId="18" fillId="6" borderId="5" xfId="0" applyFont="1" applyFill="1" applyBorder="1"/>
    <xf numFmtId="0" fontId="18" fillId="6" borderId="6" xfId="0" applyFont="1" applyFill="1" applyBorder="1"/>
    <xf numFmtId="0" fontId="18" fillId="7" borderId="5" xfId="0" applyFont="1" applyFill="1" applyBorder="1"/>
    <xf numFmtId="0" fontId="18" fillId="7" borderId="6" xfId="0" applyFont="1" applyFill="1" applyBorder="1"/>
    <xf numFmtId="0" fontId="18" fillId="8" borderId="7" xfId="0" applyFont="1" applyFill="1" applyBorder="1"/>
    <xf numFmtId="0" fontId="18" fillId="8" borderId="8" xfId="0" applyFont="1" applyFill="1" applyBorder="1"/>
    <xf numFmtId="0" fontId="13" fillId="3" borderId="9" xfId="0" applyFont="1" applyFill="1" applyBorder="1"/>
    <xf numFmtId="0" fontId="18" fillId="6" borderId="10" xfId="0" applyFont="1" applyFill="1" applyBorder="1"/>
    <xf numFmtId="0" fontId="18" fillId="7" borderId="10" xfId="0" applyFont="1" applyFill="1" applyBorder="1"/>
    <xf numFmtId="0" fontId="18" fillId="8" borderId="11" xfId="0" applyFont="1" applyFill="1" applyBorder="1"/>
    <xf numFmtId="0" fontId="13" fillId="10" borderId="3" xfId="0" applyFont="1" applyFill="1" applyBorder="1"/>
    <xf numFmtId="0" fontId="13" fillId="10" borderId="4" xfId="0" applyFont="1" applyFill="1" applyBorder="1"/>
    <xf numFmtId="0" fontId="13" fillId="9" borderId="3" xfId="0" applyFont="1" applyFill="1" applyBorder="1"/>
    <xf numFmtId="0" fontId="13" fillId="9" borderId="4" xfId="0" applyFont="1" applyFill="1" applyBorder="1"/>
    <xf numFmtId="0" fontId="18" fillId="11" borderId="5" xfId="0" applyFont="1" applyFill="1" applyBorder="1"/>
    <xf numFmtId="0" fontId="18" fillId="11" borderId="6" xfId="0" applyFont="1" applyFill="1" applyBorder="1"/>
    <xf numFmtId="0" fontId="18" fillId="12" borderId="5" xfId="0" applyFont="1" applyFill="1" applyBorder="1"/>
    <xf numFmtId="0" fontId="18" fillId="12" borderId="6" xfId="0" applyFont="1" applyFill="1" applyBorder="1"/>
    <xf numFmtId="0" fontId="18" fillId="13" borderId="7" xfId="0" applyFont="1" applyFill="1" applyBorder="1"/>
    <xf numFmtId="0" fontId="18" fillId="13" borderId="8" xfId="0" applyFont="1" applyFill="1" applyBorder="1"/>
    <xf numFmtId="0" fontId="12" fillId="12" borderId="0" xfId="0" applyFont="1" applyFill="1"/>
    <xf numFmtId="0" fontId="21" fillId="0" borderId="0" xfId="0" applyFont="1"/>
    <xf numFmtId="0" fontId="21" fillId="0" borderId="0" xfId="0" applyFont="1" applyAlignment="1">
      <alignment horizontal="center"/>
    </xf>
    <xf numFmtId="0" fontId="6" fillId="12" borderId="0" xfId="0" applyFont="1" applyFill="1" applyAlignment="1">
      <alignment horizontal="left"/>
    </xf>
    <xf numFmtId="0" fontId="6" fillId="12" borderId="0" xfId="0" applyFont="1" applyFill="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3" borderId="0" xfId="0" applyFont="1" applyFill="1" applyAlignment="1">
      <alignment horizontal="center"/>
    </xf>
    <xf numFmtId="0" fontId="14" fillId="9" borderId="0" xfId="0" applyFont="1" applyFill="1" applyAlignment="1">
      <alignment horizontal="center"/>
    </xf>
    <xf numFmtId="0" fontId="6" fillId="12" borderId="0" xfId="0" applyFont="1" applyFill="1" applyAlignment="1">
      <alignment horizontal="left"/>
    </xf>
    <xf numFmtId="0" fontId="15" fillId="9" borderId="0" xfId="0" applyFont="1" applyFill="1" applyAlignment="1">
      <alignment horizontal="center" vertical="center"/>
    </xf>
    <xf numFmtId="0" fontId="19" fillId="4" borderId="0" xfId="1" applyFont="1" applyFill="1" applyAlignment="1">
      <alignment horizontal="center" vertical="center"/>
    </xf>
    <xf numFmtId="0" fontId="16" fillId="0" borderId="0" xfId="0" applyFont="1" applyAlignment="1">
      <alignment horizontal="left" vertical="top" wrapText="1"/>
    </xf>
    <xf numFmtId="0" fontId="2" fillId="0" borderId="0" xfId="0" applyFont="1" applyAlignment="1">
      <alignment horizontal="left" vertical="top" wrapText="1"/>
    </xf>
    <xf numFmtId="0" fontId="0" fillId="0" borderId="0" xfId="0" applyAlignment="1">
      <alignment horizontal="left" vertical="top"/>
    </xf>
    <xf numFmtId="0" fontId="20" fillId="0" borderId="0" xfId="0" applyFont="1" applyAlignment="1">
      <alignment horizontal="center"/>
    </xf>
    <xf numFmtId="0" fontId="4" fillId="0" borderId="0" xfId="0" applyFont="1" applyProtection="1"/>
    <xf numFmtId="164" fontId="5" fillId="0" borderId="0" xfId="0" applyNumberFormat="1" applyFont="1" applyAlignment="1" applyProtection="1">
      <alignment horizontal="center"/>
    </xf>
    <xf numFmtId="0" fontId="5" fillId="0" borderId="0" xfId="0" applyFont="1" applyAlignment="1" applyProtection="1">
      <alignment horizontal="center"/>
    </xf>
    <xf numFmtId="0" fontId="4" fillId="5" borderId="0" xfId="0" applyFont="1" applyFill="1" applyProtection="1"/>
    <xf numFmtId="0" fontId="10" fillId="5" borderId="0" xfId="0" applyFont="1" applyFill="1" applyAlignment="1" applyProtection="1">
      <alignment horizontal="center"/>
    </xf>
    <xf numFmtId="164" fontId="5" fillId="5" borderId="0" xfId="0" applyNumberFormat="1" applyFont="1" applyFill="1" applyAlignment="1" applyProtection="1">
      <alignment horizontal="center"/>
    </xf>
    <xf numFmtId="0" fontId="0" fillId="0" borderId="0" xfId="0" applyProtection="1"/>
    <xf numFmtId="0" fontId="10" fillId="0" borderId="0" xfId="0" applyFont="1" applyAlignment="1" applyProtection="1">
      <alignment horizontal="center"/>
    </xf>
    <xf numFmtId="164" fontId="10" fillId="0" borderId="0" xfId="0" applyNumberFormat="1" applyFont="1" applyAlignment="1" applyProtection="1">
      <alignment horizontal="center"/>
    </xf>
    <xf numFmtId="0" fontId="4" fillId="0" borderId="0" xfId="0" applyFont="1" applyAlignment="1" applyProtection="1">
      <alignment vertical="center"/>
    </xf>
    <xf numFmtId="0" fontId="0" fillId="0" borderId="0" xfId="0" applyAlignment="1" applyProtection="1">
      <alignment horizontal="center" wrapText="1"/>
    </xf>
    <xf numFmtId="0" fontId="0" fillId="14" borderId="12" xfId="0" applyFill="1" applyBorder="1"/>
    <xf numFmtId="0" fontId="0" fillId="14" borderId="13" xfId="0" applyFill="1" applyBorder="1"/>
    <xf numFmtId="0" fontId="0" fillId="14" borderId="14" xfId="0" applyFill="1" applyBorder="1"/>
    <xf numFmtId="0" fontId="22" fillId="14" borderId="15" xfId="0" applyFont="1" applyFill="1" applyBorder="1" applyAlignment="1">
      <alignment horizontal="center" vertical="center" wrapText="1"/>
    </xf>
    <xf numFmtId="0" fontId="23" fillId="14" borderId="0" xfId="0" applyFont="1" applyFill="1" applyAlignment="1">
      <alignment horizontal="center"/>
    </xf>
    <xf numFmtId="0" fontId="23" fillId="14" borderId="16" xfId="0" applyFont="1" applyFill="1" applyBorder="1" applyAlignment="1">
      <alignment horizontal="center"/>
    </xf>
    <xf numFmtId="0" fontId="0" fillId="14" borderId="15" xfId="0" applyFill="1" applyBorder="1"/>
    <xf numFmtId="0" fontId="0" fillId="14" borderId="0" xfId="0" applyFill="1"/>
    <xf numFmtId="0" fontId="0" fillId="14" borderId="16" xfId="0" applyFill="1" applyBorder="1"/>
    <xf numFmtId="0" fontId="24" fillId="14" borderId="17" xfId="0" applyFont="1" applyFill="1" applyBorder="1" applyAlignment="1">
      <alignment horizontal="center" vertical="center"/>
    </xf>
    <xf numFmtId="0" fontId="25" fillId="14" borderId="18" xfId="0" applyFont="1" applyFill="1" applyBorder="1" applyAlignment="1">
      <alignment horizontal="center"/>
    </xf>
    <xf numFmtId="0" fontId="25" fillId="14" borderId="19" xfId="0" applyFont="1" applyFill="1" applyBorder="1" applyAlignment="1">
      <alignment horizontal="center"/>
    </xf>
    <xf numFmtId="0" fontId="0" fillId="15" borderId="0" xfId="0" applyFill="1"/>
    <xf numFmtId="0" fontId="26" fillId="5" borderId="23" xfId="0" applyFont="1" applyFill="1" applyBorder="1" applyAlignment="1">
      <alignment horizontal="left" vertical="center" wrapText="1"/>
    </xf>
    <xf numFmtId="0" fontId="1" fillId="5" borderId="24" xfId="0" applyFont="1" applyFill="1" applyBorder="1"/>
    <xf numFmtId="0" fontId="1" fillId="5" borderId="25" xfId="0" applyFont="1" applyFill="1" applyBorder="1"/>
    <xf numFmtId="0" fontId="27" fillId="9" borderId="20" xfId="0" applyFont="1" applyFill="1" applyBorder="1" applyAlignment="1">
      <alignment horizontal="left" vertical="center"/>
    </xf>
    <xf numFmtId="0" fontId="28" fillId="9" borderId="21" xfId="0" applyFont="1" applyFill="1" applyBorder="1"/>
    <xf numFmtId="0" fontId="28" fillId="9" borderId="22" xfId="0" applyFont="1" applyFill="1" applyBorder="1"/>
    <xf numFmtId="0" fontId="29" fillId="9" borderId="20" xfId="0" applyFont="1" applyFill="1" applyBorder="1" applyAlignment="1">
      <alignment horizontal="left" vertical="center"/>
    </xf>
    <xf numFmtId="0" fontId="18" fillId="9" borderId="21" xfId="0" applyFont="1" applyFill="1" applyBorder="1"/>
    <xf numFmtId="0" fontId="18" fillId="9" borderId="22" xfId="0" applyFont="1" applyFill="1" applyBorder="1"/>
    <xf numFmtId="0" fontId="30" fillId="2" borderId="26" xfId="0" applyFont="1" applyFill="1" applyBorder="1" applyAlignment="1">
      <alignment horizontal="center" vertical="center" wrapText="1"/>
    </xf>
    <xf numFmtId="0" fontId="18" fillId="2" borderId="27" xfId="0" applyFont="1" applyFill="1" applyBorder="1"/>
    <xf numFmtId="0" fontId="18" fillId="2" borderId="28" xfId="0" applyFont="1" applyFill="1" applyBorder="1"/>
    <xf numFmtId="0" fontId="30" fillId="16" borderId="26" xfId="0" applyFont="1" applyFill="1" applyBorder="1" applyAlignment="1">
      <alignment horizontal="center" vertical="center" wrapText="1"/>
    </xf>
    <xf numFmtId="0" fontId="18" fillId="16" borderId="27" xfId="0" applyFont="1" applyFill="1" applyBorder="1"/>
    <xf numFmtId="0" fontId="18" fillId="16" borderId="28" xfId="0" applyFont="1" applyFill="1" applyBorder="1"/>
    <xf numFmtId="0" fontId="26" fillId="5" borderId="29" xfId="0" applyFont="1" applyFill="1" applyBorder="1" applyAlignment="1">
      <alignment horizontal="left" vertical="center" wrapText="1"/>
    </xf>
    <xf numFmtId="0" fontId="0" fillId="5" borderId="30" xfId="0" applyFont="1" applyFill="1" applyBorder="1"/>
    <xf numFmtId="0" fontId="0" fillId="5" borderId="31" xfId="0" applyFont="1" applyFill="1" applyBorder="1"/>
  </cellXfs>
  <cellStyles count="2">
    <cellStyle name="Hyperlink" xfId="1" builtinId="8"/>
    <cellStyle name="Normal" xfId="0" builtinId="0"/>
  </cellStyles>
  <dxfs count="15">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auto="1"/>
        </top>
      </border>
    </dxf>
    <dxf>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auto="1"/>
        </left>
        <right style="thin">
          <color auto="1"/>
        </right>
        <top/>
        <bottom/>
      </border>
    </dxf>
    <dxf>
      <border outline="0">
        <top style="thin">
          <color auto="1"/>
        </top>
      </border>
    </dxf>
    <dxf>
      <border outline="0">
        <bottom style="thin">
          <color auto="1"/>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auto="1"/>
        </left>
        <right style="thin">
          <color auto="1"/>
        </right>
        <top/>
        <bottom/>
      </border>
    </dxf>
  </dxfs>
  <tableStyles count="0" defaultTableStyle="TableStyleMedium9" defaultPivotStyle="PivotStyleLight16"/>
  <colors>
    <mruColors>
      <color rgb="FFFFFCCC"/>
      <color rgb="FFFFE6E1"/>
      <color rgb="FFFDFFB4"/>
      <color rgb="FFCEF1CF"/>
      <color rgb="FF8AF186"/>
      <color rgb="FFFF9D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13804</xdr:rowOff>
    </xdr:from>
    <xdr:to>
      <xdr:col>0</xdr:col>
      <xdr:colOff>609600</xdr:colOff>
      <xdr:row>0</xdr:row>
      <xdr:rowOff>604428</xdr:rowOff>
    </xdr:to>
    <xdr:pic>
      <xdr:nvPicPr>
        <xdr:cNvPr id="2" name="Picture 1">
          <a:extLst>
            <a:ext uri="{FF2B5EF4-FFF2-40B4-BE49-F238E27FC236}">
              <a16:creationId xmlns:a16="http://schemas.microsoft.com/office/drawing/2014/main" id="{132CBC1D-1F06-0644-B77D-F6B4931C4B2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90" t="15676" r="11538" b="17027"/>
        <a:stretch>
          <a:fillRect/>
        </a:stretch>
      </xdr:blipFill>
      <xdr:spPr>
        <a:xfrm>
          <a:off x="0" y="13804"/>
          <a:ext cx="609600" cy="590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xdr:row>
      <xdr:rowOff>25400</xdr:rowOff>
    </xdr:from>
    <xdr:to>
      <xdr:col>7</xdr:col>
      <xdr:colOff>2057400</xdr:colOff>
      <xdr:row>30</xdr:row>
      <xdr:rowOff>14867</xdr:rowOff>
    </xdr:to>
    <xdr:pic>
      <xdr:nvPicPr>
        <xdr:cNvPr id="2" name="Picture 1">
          <a:extLst>
            <a:ext uri="{FF2B5EF4-FFF2-40B4-BE49-F238E27FC236}">
              <a16:creationId xmlns:a16="http://schemas.microsoft.com/office/drawing/2014/main" id="{2160A53E-1965-C045-904C-CD828106D075}"/>
            </a:ext>
          </a:extLst>
        </xdr:cNvPr>
        <xdr:cNvPicPr>
          <a:picLocks noChangeAspect="1"/>
        </xdr:cNvPicPr>
      </xdr:nvPicPr>
      <xdr:blipFill rotWithShape="1">
        <a:blip xmlns:r="http://schemas.openxmlformats.org/officeDocument/2006/relationships" r:embed="rId1"/>
        <a:srcRect t="1256"/>
        <a:stretch>
          <a:fillRect/>
        </a:stretch>
      </xdr:blipFill>
      <xdr:spPr>
        <a:xfrm>
          <a:off x="0" y="1358900"/>
          <a:ext cx="7835900" cy="4370967"/>
        </a:xfrm>
        <a:prstGeom prst="rect">
          <a:avLst/>
        </a:prstGeom>
      </xdr:spPr>
    </xdr:pic>
    <xdr:clientData/>
  </xdr:twoCellAnchor>
  <xdr:twoCellAnchor editAs="oneCell">
    <xdr:from>
      <xdr:col>0</xdr:col>
      <xdr:colOff>0</xdr:colOff>
      <xdr:row>0</xdr:row>
      <xdr:rowOff>0</xdr:rowOff>
    </xdr:from>
    <xdr:to>
      <xdr:col>0</xdr:col>
      <xdr:colOff>609600</xdr:colOff>
      <xdr:row>3</xdr:row>
      <xdr:rowOff>19124</xdr:rowOff>
    </xdr:to>
    <xdr:pic>
      <xdr:nvPicPr>
        <xdr:cNvPr id="5" name="Picture 4">
          <a:extLst>
            <a:ext uri="{FF2B5EF4-FFF2-40B4-BE49-F238E27FC236}">
              <a16:creationId xmlns:a16="http://schemas.microsoft.com/office/drawing/2014/main" id="{BD3AFBE9-2572-764E-99B8-88A665B349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090" t="15676" r="11538" b="17027"/>
        <a:stretch>
          <a:fillRect/>
        </a:stretch>
      </xdr:blipFill>
      <xdr:spPr>
        <a:xfrm>
          <a:off x="0" y="0"/>
          <a:ext cx="609600" cy="5906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3</xdr:row>
      <xdr:rowOff>38100</xdr:rowOff>
    </xdr:from>
    <xdr:to>
      <xdr:col>8</xdr:col>
      <xdr:colOff>809369</xdr:colOff>
      <xdr:row>32</xdr:row>
      <xdr:rowOff>152400</xdr:rowOff>
    </xdr:to>
    <xdr:pic>
      <xdr:nvPicPr>
        <xdr:cNvPr id="2" name="Picture 1">
          <a:extLst>
            <a:ext uri="{FF2B5EF4-FFF2-40B4-BE49-F238E27FC236}">
              <a16:creationId xmlns:a16="http://schemas.microsoft.com/office/drawing/2014/main" id="{05D6DC63-DC16-CFDC-D787-AC59C0E3DDEF}"/>
            </a:ext>
          </a:extLst>
        </xdr:cNvPr>
        <xdr:cNvPicPr>
          <a:picLocks noChangeAspect="1"/>
        </xdr:cNvPicPr>
      </xdr:nvPicPr>
      <xdr:blipFill>
        <a:blip xmlns:r="http://schemas.openxmlformats.org/officeDocument/2006/relationships" r:embed="rId1"/>
        <a:stretch>
          <a:fillRect/>
        </a:stretch>
      </xdr:blipFill>
      <xdr:spPr>
        <a:xfrm>
          <a:off x="38100" y="609600"/>
          <a:ext cx="7375269" cy="5651500"/>
        </a:xfrm>
        <a:prstGeom prst="rect">
          <a:avLst/>
        </a:prstGeom>
      </xdr:spPr>
    </xdr:pic>
    <xdr:clientData/>
  </xdr:twoCellAnchor>
  <xdr:twoCellAnchor editAs="oneCell">
    <xdr:from>
      <xdr:col>0</xdr:col>
      <xdr:colOff>0</xdr:colOff>
      <xdr:row>0</xdr:row>
      <xdr:rowOff>0</xdr:rowOff>
    </xdr:from>
    <xdr:to>
      <xdr:col>0</xdr:col>
      <xdr:colOff>609600</xdr:colOff>
      <xdr:row>3</xdr:row>
      <xdr:rowOff>19124</xdr:rowOff>
    </xdr:to>
    <xdr:pic>
      <xdr:nvPicPr>
        <xdr:cNvPr id="3" name="Picture 2">
          <a:extLst>
            <a:ext uri="{FF2B5EF4-FFF2-40B4-BE49-F238E27FC236}">
              <a16:creationId xmlns:a16="http://schemas.microsoft.com/office/drawing/2014/main" id="{56D2A1B8-AF26-BC4C-A623-A6E5DD0761D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090" t="15676" r="11538" b="17027"/>
        <a:stretch>
          <a:fillRect/>
        </a:stretch>
      </xdr:blipFill>
      <xdr:spPr>
        <a:xfrm>
          <a:off x="0" y="0"/>
          <a:ext cx="609600" cy="59062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CA15B5-BC98-4647-90D6-BE87AC9F8D5E}" name="Table2" displayName="Table2" ref="J4:Q34" totalsRowShown="0" headerRowDxfId="14" headerRowBorderDxfId="13" tableBorderDxfId="12">
  <autoFilter ref="J4:Q34" xr:uid="{2DCA15B5-BC98-4647-90D6-BE87AC9F8D5E}"/>
  <tableColumns count="8">
    <tableColumn id="1" xr3:uid="{BB955044-6A35-B042-82A8-6993D10F1506}" name="Stage"/>
    <tableColumn id="2" xr3:uid="{62D8D3F7-923F-814D-80B5-15DCF76002A4}" name="Running Speed (km/h)"/>
    <tableColumn id="3" xr3:uid="{B9CB2855-3E78-9343-A727-F6877B745398}" name="Running Speed (m/s)"/>
    <tableColumn id="4" xr3:uid="{FFA966FD-3511-8C4C-B22D-F170C82715EE}" name="Work Time (s)"/>
    <tableColumn id="5" xr3:uid="{77EE9424-5315-FA4A-9786-4658B218827C}" name="Rest Time (s)"/>
    <tableColumn id="6" xr3:uid="{6C10B88C-D6E8-D749-8648-88758F978AD0}" name="Distance per Stage (m)"/>
    <tableColumn id="7" xr3:uid="{04B2676C-2BA7-0D45-8B77-E5E61D713A0A}" name="Cumulative Time (mm:ss)"/>
    <tableColumn id="8" xr3:uid="{EFBC88B1-177C-4F42-8160-270FEEF04A74}" name="Cumulative Distance (m)"/>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701454-273D-6444-92E0-B9F6CE04DDC2}" name="BeepScores" displayName="BeepScores" ref="K4:R25" totalsRowShown="0" headerRowDxfId="11" dataDxfId="9" headerRowBorderDxfId="10" tableBorderDxfId="8">
  <autoFilter ref="K4:R25" xr:uid="{75701454-273D-6444-92E0-B9F6CE04DDC2}"/>
  <tableColumns count="8">
    <tableColumn id="1" xr3:uid="{5BB89DF9-6316-594C-A5B1-3F29AF0DBDA7}" name="Level" dataDxfId="7"/>
    <tableColumn id="2" xr3:uid="{36180D98-AA14-CE4B-9564-BC1A368E140B}" name="Shuttles" dataDxfId="6"/>
    <tableColumn id="3" xr3:uid="{50E2909C-3C3C-1942-966A-901E38C55E6D}" name="Running Speed (km/h)" dataDxfId="5"/>
    <tableColumn id="4" xr3:uid="{B41E403D-FD00-9849-BEB6-383E3D11907C}" name="Time per Shuttle (s)" dataDxfId="4"/>
    <tableColumn id="5" xr3:uid="{8C0019B8-93A5-D043-96B6-F4F17A338FD9}" name="Total Level Time (s)" dataDxfId="3"/>
    <tableColumn id="6" xr3:uid="{91A03EF4-57D7-3B40-BF64-A9BF6A867A1C}" name="Cumulative Time (min:sec)" dataDxfId="2"/>
    <tableColumn id="7" xr3:uid="{56D6B8F5-33B8-3D46-96AD-6ED643265666}" name="Distance per Level (m)" dataDxfId="1"/>
    <tableColumn id="8" xr3:uid="{8880DEDB-5D0E-514D-B2F3-76082171FE48}" name="Cumulative Distance (m)"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adamloiacono.com/" TargetMode="External"/><Relationship Id="rId1" Type="http://schemas.openxmlformats.org/officeDocument/2006/relationships/hyperlink" Target="https://adamloiacono.com/performance-therapy-mentorshi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hyperlink" Target="https://apps.apple.com/us/app/30-15-ift/id1411515004%2030-15%20IF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2F224-E043-ED41-BED8-0491CF1AA6E6}">
  <sheetPr>
    <tabColor rgb="FF00B050"/>
  </sheetPr>
  <dimension ref="B1:H18"/>
  <sheetViews>
    <sheetView showGridLines="0" tabSelected="1" workbookViewId="0">
      <selection activeCell="K6" sqref="K6"/>
    </sheetView>
  </sheetViews>
  <sheetFormatPr baseColWidth="10" defaultColWidth="8.83203125" defaultRowHeight="15" x14ac:dyDescent="0.2"/>
  <cols>
    <col min="1" max="1" width="3" customWidth="1"/>
    <col min="2" max="2" width="4" customWidth="1"/>
    <col min="3" max="8" width="14" customWidth="1"/>
    <col min="9" max="9" width="3" customWidth="1"/>
  </cols>
  <sheetData>
    <row r="1" spans="2:8" ht="10" customHeight="1" thickTop="1" x14ac:dyDescent="0.2">
      <c r="B1" s="62"/>
      <c r="C1" s="63"/>
      <c r="D1" s="63"/>
      <c r="E1" s="63"/>
      <c r="F1" s="63"/>
      <c r="G1" s="63"/>
      <c r="H1" s="64"/>
    </row>
    <row r="2" spans="2:8" ht="54" customHeight="1" x14ac:dyDescent="0.4">
      <c r="B2" s="65" t="s">
        <v>233</v>
      </c>
      <c r="C2" s="66"/>
      <c r="D2" s="66"/>
      <c r="E2" s="66"/>
      <c r="F2" s="66"/>
      <c r="G2" s="66"/>
      <c r="H2" s="67"/>
    </row>
    <row r="3" spans="2:8" ht="10" customHeight="1" x14ac:dyDescent="0.2">
      <c r="B3" s="68"/>
      <c r="C3" s="69"/>
      <c r="D3" s="69"/>
      <c r="E3" s="69"/>
      <c r="F3" s="69"/>
      <c r="G3" s="69"/>
      <c r="H3" s="70"/>
    </row>
    <row r="4" spans="2:8" ht="22" customHeight="1" thickBot="1" x14ac:dyDescent="0.3">
      <c r="B4" s="71" t="s">
        <v>228</v>
      </c>
      <c r="C4" s="72"/>
      <c r="D4" s="72"/>
      <c r="E4" s="72"/>
      <c r="F4" s="72"/>
      <c r="G4" s="72"/>
      <c r="H4" s="73"/>
    </row>
    <row r="5" spans="2:8" ht="14" customHeight="1" thickTop="1" x14ac:dyDescent="0.2">
      <c r="B5" s="74"/>
      <c r="C5" s="74"/>
      <c r="D5" s="74"/>
      <c r="E5" s="74"/>
      <c r="F5" s="74"/>
      <c r="G5" s="74"/>
      <c r="H5" s="74"/>
    </row>
    <row r="6" spans="2:8" ht="258" customHeight="1" x14ac:dyDescent="0.2">
      <c r="B6" s="90" t="s">
        <v>234</v>
      </c>
      <c r="C6" s="91"/>
      <c r="D6" s="91"/>
      <c r="E6" s="91"/>
      <c r="F6" s="91"/>
      <c r="G6" s="91"/>
      <c r="H6" s="92"/>
    </row>
    <row r="7" spans="2:8" ht="14" customHeight="1" x14ac:dyDescent="0.2">
      <c r="B7" s="74"/>
      <c r="C7" s="74"/>
      <c r="D7" s="74"/>
      <c r="E7" s="74"/>
      <c r="F7" s="74"/>
      <c r="G7" s="74"/>
      <c r="H7" s="74"/>
    </row>
    <row r="8" spans="2:8" ht="14" customHeight="1" x14ac:dyDescent="0.2">
      <c r="B8" s="74"/>
      <c r="C8" s="74"/>
      <c r="D8" s="74"/>
      <c r="E8" s="74"/>
      <c r="F8" s="74"/>
      <c r="G8" s="74"/>
      <c r="H8" s="74"/>
    </row>
    <row r="9" spans="2:8" ht="30" customHeight="1" x14ac:dyDescent="0.25">
      <c r="B9" s="78" t="s">
        <v>229</v>
      </c>
      <c r="C9" s="79"/>
      <c r="D9" s="79"/>
      <c r="E9" s="79"/>
      <c r="F9" s="79"/>
      <c r="G9" s="79"/>
      <c r="H9" s="80"/>
    </row>
    <row r="10" spans="2:8" ht="50" customHeight="1" x14ac:dyDescent="0.2">
      <c r="B10" s="75" t="s">
        <v>235</v>
      </c>
      <c r="C10" s="76"/>
      <c r="D10" s="76"/>
      <c r="E10" s="76"/>
      <c r="F10" s="76"/>
      <c r="G10" s="76"/>
      <c r="H10" s="77"/>
    </row>
    <row r="11" spans="2:8" ht="14" customHeight="1" x14ac:dyDescent="0.2">
      <c r="B11" s="74"/>
      <c r="C11" s="74"/>
      <c r="D11" s="74"/>
      <c r="E11" s="74"/>
      <c r="F11" s="74"/>
      <c r="G11" s="74"/>
      <c r="H11" s="74"/>
    </row>
    <row r="12" spans="2:8" ht="30" customHeight="1" x14ac:dyDescent="0.25">
      <c r="B12" s="81" t="s">
        <v>230</v>
      </c>
      <c r="C12" s="82"/>
      <c r="D12" s="82"/>
      <c r="E12" s="82"/>
      <c r="F12" s="82"/>
      <c r="G12" s="82"/>
      <c r="H12" s="83"/>
    </row>
    <row r="13" spans="2:8" ht="54" customHeight="1" x14ac:dyDescent="0.2">
      <c r="B13" s="75" t="s">
        <v>236</v>
      </c>
      <c r="C13" s="76"/>
      <c r="D13" s="76"/>
      <c r="E13" s="76"/>
      <c r="F13" s="76"/>
      <c r="G13" s="76"/>
      <c r="H13" s="77"/>
    </row>
    <row r="14" spans="2:8" ht="18" customHeight="1" thickBot="1" x14ac:dyDescent="0.25">
      <c r="B14" s="74"/>
      <c r="C14" s="74"/>
      <c r="D14" s="74"/>
      <c r="E14" s="74"/>
      <c r="F14" s="74"/>
      <c r="G14" s="74"/>
      <c r="H14" s="74"/>
    </row>
    <row r="15" spans="2:8" ht="48" customHeight="1" thickBot="1" x14ac:dyDescent="0.3">
      <c r="B15" s="84" t="s">
        <v>231</v>
      </c>
      <c r="C15" s="85"/>
      <c r="D15" s="85"/>
      <c r="E15" s="85"/>
      <c r="F15" s="85"/>
      <c r="G15" s="85"/>
      <c r="H15" s="86"/>
    </row>
    <row r="16" spans="2:8" ht="14" customHeight="1" thickBot="1" x14ac:dyDescent="0.25">
      <c r="B16" s="74"/>
      <c r="C16" s="74"/>
      <c r="D16" s="74"/>
      <c r="E16" s="74"/>
      <c r="F16" s="74"/>
      <c r="G16" s="74"/>
      <c r="H16" s="74"/>
    </row>
    <row r="17" spans="2:8" ht="48" customHeight="1" thickBot="1" x14ac:dyDescent="0.3">
      <c r="B17" s="87" t="s">
        <v>232</v>
      </c>
      <c r="C17" s="88"/>
      <c r="D17" s="88"/>
      <c r="E17" s="88"/>
      <c r="F17" s="88"/>
      <c r="G17" s="88"/>
      <c r="H17" s="89"/>
    </row>
    <row r="18" spans="2:8" ht="20" customHeight="1" x14ac:dyDescent="0.2">
      <c r="B18" s="74"/>
      <c r="C18" s="74"/>
      <c r="D18" s="74"/>
      <c r="E18" s="74"/>
      <c r="F18" s="74"/>
      <c r="G18" s="74"/>
      <c r="H18" s="74"/>
    </row>
  </sheetData>
  <sheetProtection algorithmName="SHA-512" hashValue="eNwSX/PVau0t1y4wxApgfoEpIBYxbGq05vTPWLXQ5zAk8fks1VjrL1VMjyydAFrCF0AGyZcLzEE5051mTVFzEA==" saltValue="pARggAWt18/PE7icgy5uBw==" spinCount="100000" sheet="1" objects="1" scenarios="1"/>
  <mergeCells count="9">
    <mergeCell ref="B10:H10"/>
    <mergeCell ref="B12:H12"/>
    <mergeCell ref="B13:H13"/>
    <mergeCell ref="B15:H15"/>
    <mergeCell ref="B17:H17"/>
    <mergeCell ref="B2:H2"/>
    <mergeCell ref="B4:H4"/>
    <mergeCell ref="B6:H6"/>
    <mergeCell ref="B9:H9"/>
  </mergeCells>
  <hyperlinks>
    <hyperlink ref="B15" r:id="rId1" xr:uid="{D75CD186-4ACF-7241-9010-9D26299991FF}"/>
    <hyperlink ref="B17" r:id="rId2" xr:uid="{F862F743-B666-FB41-BDF1-6E9A8443ED50}"/>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0"/>
  <sheetViews>
    <sheetView zoomScale="168" zoomScaleNormal="168" workbookViewId="0">
      <selection activeCell="D25" sqref="D25"/>
    </sheetView>
  </sheetViews>
  <sheetFormatPr baseColWidth="10" defaultColWidth="8.83203125" defaultRowHeight="15" x14ac:dyDescent="0.2"/>
  <cols>
    <col min="1" max="1" width="44.6640625" customWidth="1"/>
    <col min="2" max="2" width="34.33203125" customWidth="1"/>
    <col min="4" max="4" width="27.33203125" customWidth="1"/>
  </cols>
  <sheetData>
    <row r="1" spans="1:4" ht="48" customHeight="1" x14ac:dyDescent="0.2">
      <c r="A1" s="40" t="s">
        <v>174</v>
      </c>
      <c r="B1" s="41"/>
    </row>
    <row r="2" spans="1:4" ht="21" x14ac:dyDescent="0.25">
      <c r="A2" s="43" t="s">
        <v>139</v>
      </c>
      <c r="B2" s="43"/>
    </row>
    <row r="3" spans="1:4" x14ac:dyDescent="0.2">
      <c r="A3" s="35" t="s">
        <v>136</v>
      </c>
      <c r="B3" s="4" t="s">
        <v>218</v>
      </c>
      <c r="C3" s="39" t="s">
        <v>227</v>
      </c>
      <c r="D3" s="39"/>
    </row>
    <row r="4" spans="1:4" x14ac:dyDescent="0.2">
      <c r="A4" s="35" t="s">
        <v>137</v>
      </c>
      <c r="B4" s="4"/>
      <c r="C4" s="39"/>
      <c r="D4" s="39"/>
    </row>
    <row r="5" spans="1:4" x14ac:dyDescent="0.2">
      <c r="A5" s="1" t="s">
        <v>0</v>
      </c>
      <c r="B5" s="4"/>
      <c r="C5" s="39"/>
      <c r="D5" s="39"/>
    </row>
    <row r="6" spans="1:4" x14ac:dyDescent="0.2">
      <c r="A6" s="1" t="s">
        <v>212</v>
      </c>
      <c r="B6" s="4">
        <v>9</v>
      </c>
      <c r="C6" s="39"/>
      <c r="D6" s="39"/>
    </row>
    <row r="7" spans="1:4" x14ac:dyDescent="0.2">
      <c r="A7" s="1" t="s">
        <v>213</v>
      </c>
      <c r="B7" s="4">
        <f>Beep_Speed_FromStage</f>
        <v>12.5</v>
      </c>
      <c r="C7" s="39"/>
      <c r="D7" s="39"/>
    </row>
    <row r="8" spans="1:4" x14ac:dyDescent="0.2">
      <c r="A8" s="1" t="s">
        <v>1</v>
      </c>
      <c r="B8" s="4">
        <v>18</v>
      </c>
      <c r="C8" s="39"/>
      <c r="D8" s="39"/>
    </row>
    <row r="9" spans="1:4" x14ac:dyDescent="0.2">
      <c r="A9" s="1" t="s">
        <v>215</v>
      </c>
      <c r="B9" s="4"/>
      <c r="C9" s="39"/>
      <c r="D9" s="39"/>
    </row>
    <row r="10" spans="1:4" x14ac:dyDescent="0.2">
      <c r="A10" s="1" t="s">
        <v>2</v>
      </c>
      <c r="B10" s="10">
        <v>0.3125</v>
      </c>
      <c r="C10" s="39"/>
      <c r="D10" s="39"/>
    </row>
    <row r="12" spans="1:4" x14ac:dyDescent="0.2">
      <c r="B12" s="4"/>
    </row>
    <row r="13" spans="1:4" x14ac:dyDescent="0.2">
      <c r="A13" s="1" t="s">
        <v>3</v>
      </c>
      <c r="B13" s="4">
        <v>35</v>
      </c>
      <c r="C13" s="44" t="s">
        <v>220</v>
      </c>
      <c r="D13" s="44"/>
    </row>
    <row r="14" spans="1:4" x14ac:dyDescent="0.2">
      <c r="A14" s="1" t="s">
        <v>4</v>
      </c>
      <c r="B14" s="4">
        <v>58</v>
      </c>
      <c r="C14" s="44" t="s">
        <v>221</v>
      </c>
      <c r="D14" s="44"/>
    </row>
    <row r="15" spans="1:4" x14ac:dyDescent="0.2">
      <c r="A15" s="1" t="s">
        <v>5</v>
      </c>
      <c r="B15" s="4" t="s">
        <v>19</v>
      </c>
      <c r="C15" s="44" t="s">
        <v>222</v>
      </c>
      <c r="D15" s="44"/>
    </row>
    <row r="16" spans="1:4" x14ac:dyDescent="0.2">
      <c r="A16" s="7" t="s">
        <v>138</v>
      </c>
      <c r="B16" s="4">
        <v>2.5</v>
      </c>
      <c r="C16" s="44" t="s">
        <v>225</v>
      </c>
      <c r="D16" s="44"/>
    </row>
    <row r="17" spans="1:4" x14ac:dyDescent="0.2">
      <c r="A17" s="1" t="s">
        <v>6</v>
      </c>
      <c r="B17" s="4" t="s">
        <v>129</v>
      </c>
      <c r="C17" s="38" t="s">
        <v>223</v>
      </c>
      <c r="D17" s="38"/>
    </row>
    <row r="18" spans="1:4" x14ac:dyDescent="0.2">
      <c r="A18" s="1" t="s">
        <v>7</v>
      </c>
      <c r="B18" s="4" t="s">
        <v>219</v>
      </c>
      <c r="C18" s="38" t="s">
        <v>224</v>
      </c>
      <c r="D18" s="38"/>
    </row>
    <row r="19" spans="1:4" x14ac:dyDescent="0.2">
      <c r="A19" s="36" t="s">
        <v>8</v>
      </c>
      <c r="B19" s="37" t="s">
        <v>20</v>
      </c>
    </row>
    <row r="21" spans="1:4" ht="21" x14ac:dyDescent="0.25">
      <c r="A21" s="42" t="s">
        <v>9</v>
      </c>
      <c r="B21" s="42"/>
    </row>
    <row r="22" spans="1:4" x14ac:dyDescent="0.2">
      <c r="A22" s="51" t="s">
        <v>10</v>
      </c>
      <c r="B22" s="52">
        <f>MASkmh</f>
        <v>12.872</v>
      </c>
    </row>
    <row r="23" spans="1:4" x14ac:dyDescent="0.2">
      <c r="A23" s="51" t="s">
        <v>11</v>
      </c>
      <c r="B23" s="52">
        <f>MASms</f>
        <v>3.5755555555555554</v>
      </c>
    </row>
    <row r="24" spans="1:4" x14ac:dyDescent="0.2">
      <c r="A24" s="51" t="s">
        <v>12</v>
      </c>
      <c r="B24" s="52">
        <f>MASmph</f>
        <v>7.9982875120000001</v>
      </c>
    </row>
    <row r="25" spans="1:4" x14ac:dyDescent="0.2">
      <c r="A25" s="51" t="s">
        <v>13</v>
      </c>
      <c r="B25" s="53">
        <f>HRmax</f>
        <v>185</v>
      </c>
    </row>
    <row r="26" spans="1:4" x14ac:dyDescent="0.2">
      <c r="A26" s="54" t="s">
        <v>120</v>
      </c>
      <c r="B26" s="55" t="str">
        <f>IF(
  TRIM(Dashboard!$B$15)="HRmax (220-age)",
  TEXT('Do Not Touch - Backend'!$B$11,"0") &amp; " – " &amp; TEXT('Do Not Touch - Backend'!$B$12,"0"),
  TEXT('Do Not Touch - Backend'!$B$17,"0") &amp; " – " &amp; TEXT('Do Not Touch - Backend'!$B$18,"0")
)</f>
        <v>122 – 147</v>
      </c>
    </row>
    <row r="27" spans="1:4" x14ac:dyDescent="0.2">
      <c r="A27" s="54" t="s">
        <v>121</v>
      </c>
      <c r="B27" s="55" t="str">
        <f>IF(
  TRIM(Dashboard!$B$15)="HRmax (220-age)",
  TEXT('Do Not Touch - Backend'!$B$13,"0") &amp; " – " &amp; TEXT('Do Not Touch - Backend'!$B$14,"0"),
  TEXT('Do Not Touch - Backend'!$B$19,"0") &amp; " – " &amp; TEXT('Do Not Touch - Backend'!$B$20,"0")
)</f>
        <v>147 – 166</v>
      </c>
    </row>
    <row r="28" spans="1:4" x14ac:dyDescent="0.2">
      <c r="A28" s="54" t="s">
        <v>122</v>
      </c>
      <c r="B28" s="55" t="str">
        <f>IF(
  TRIM(Dashboard!$B$15)="HRmax (220-age)",
  TEXT('Do Not Touch - Backend'!$B$15,"0") &amp; " – " &amp; TEXT('Do Not Touch - Backend'!$B$16,"0"),
  TEXT('Do Not Touch - Backend'!$B$21,"0") &amp; " – " &amp; TEXT('Do Not Touch - Backend'!$B$22,"0")
)</f>
        <v>166 – 185</v>
      </c>
    </row>
    <row r="29" spans="1:4" x14ac:dyDescent="0.2">
      <c r="A29" s="51" t="s">
        <v>130</v>
      </c>
      <c r="B29" s="52">
        <f>'Do Not Touch - Backend'!$B$23</f>
        <v>28.8</v>
      </c>
    </row>
    <row r="30" spans="1:4" x14ac:dyDescent="0.2">
      <c r="A30" s="51" t="s">
        <v>131</v>
      </c>
      <c r="B30" s="52">
        <f>'Do Not Touch - Backend'!B24</f>
        <v>17.895484800000002</v>
      </c>
    </row>
    <row r="31" spans="1:4" x14ac:dyDescent="0.2">
      <c r="A31" s="51" t="s">
        <v>132</v>
      </c>
      <c r="B31" s="52">
        <f>'Do Not Touch - Backend'!B25</f>
        <v>8</v>
      </c>
    </row>
    <row r="32" spans="1:4" x14ac:dyDescent="0.2">
      <c r="A32" s="54" t="s">
        <v>133</v>
      </c>
      <c r="B32" s="56">
        <f>'Do Not Touch - Backend'!B26</f>
        <v>15.928000000000001</v>
      </c>
    </row>
    <row r="33" spans="1:4" x14ac:dyDescent="0.2">
      <c r="A33" s="54" t="s">
        <v>134</v>
      </c>
      <c r="B33" s="56">
        <f>'Do Not Touch - Backend'!B27</f>
        <v>9.897197288000001</v>
      </c>
    </row>
    <row r="34" spans="1:4" x14ac:dyDescent="0.2">
      <c r="A34" s="54" t="s">
        <v>135</v>
      </c>
      <c r="B34" s="56">
        <f>'Do Not Touch - Backend'!B28</f>
        <v>4.4244444444444451</v>
      </c>
    </row>
    <row r="35" spans="1:4" x14ac:dyDescent="0.2">
      <c r="A35" s="57"/>
      <c r="B35" s="58"/>
    </row>
    <row r="36" spans="1:4" x14ac:dyDescent="0.2">
      <c r="A36" s="51" t="s">
        <v>14</v>
      </c>
      <c r="B36" s="59" t="str">
        <f>IF(
  TRIM(Dashboard!$B$17)="Heart Rate",
  "",
  TEXT('Do Not Touch - Backend'!$B$35,"0.0") &amp; " – " &amp; TEXT('Do Not Touch - Backend'!$B$36,"0.0")
)</f>
        <v>14.5 – 16.1</v>
      </c>
    </row>
    <row r="37" spans="1:4" x14ac:dyDescent="0.2">
      <c r="A37" s="51" t="s">
        <v>15</v>
      </c>
      <c r="B37" s="59" t="str">
        <f>IF(
  TrainMethod="Heart Rate","",
  IF('Do Not Touch - Backend'!$B$37&lt;&gt;"",
     TEXT('Do Not Touch - Backend'!$B$37,"0.0") &amp; " – " &amp; TEXT('Do Not Touch - Backend'!$B$38,"0.0"),
     ""
  )
)</f>
        <v>9.0 – 10.0</v>
      </c>
    </row>
    <row r="38" spans="1:4" x14ac:dyDescent="0.2">
      <c r="A38" s="51" t="s">
        <v>16</v>
      </c>
      <c r="B38" s="59" t="str">
        <f>IF(
  TrainMethod="Heart Rate","",
  IF('Do Not Touch - Backend'!$B$39&lt;&gt;"",
     TEXT('Do Not Touch - Backend'!$B$39,"0.00") &amp; " – " &amp; TEXT('Do Not Touch - Backend'!$B$40,"0.00"),
     ""
  )
)</f>
        <v>4.02 – 4.46</v>
      </c>
    </row>
    <row r="39" spans="1:4" x14ac:dyDescent="0.2">
      <c r="A39" s="51" t="s">
        <v>17</v>
      </c>
      <c r="B39" s="53" t="str">
        <f>IF(
  TrainMethod="Heart Rate",
  TEXT('Do Not Touch - Backend'!$B$41,"0") &amp; " – " &amp; TEXT('Do Not Touch - Backend'!$B$42,"0"),
  ""
)</f>
        <v/>
      </c>
    </row>
    <row r="40" spans="1:4" ht="50" customHeight="1" x14ac:dyDescent="0.2">
      <c r="A40" s="60" t="s">
        <v>18</v>
      </c>
      <c r="B40" s="61" t="str">
        <f>'Do Not Touch - Backend'!$B$61 &amp; CHAR(10) &amp; 'Do Not Touch - Backend'!$B$62 &amp; CHAR(10) &amp; 'Do Not Touch - Backend'!$B$63</f>
        <v>6×3 min (2 min easy)
10×2 min (90 s easy)
12×90 s (90 s easy)</v>
      </c>
      <c r="C40" s="39" t="s">
        <v>226</v>
      </c>
      <c r="D40" s="39"/>
    </row>
  </sheetData>
  <mergeCells count="9">
    <mergeCell ref="C40:D40"/>
    <mergeCell ref="A1:B1"/>
    <mergeCell ref="A21:B21"/>
    <mergeCell ref="A2:B2"/>
    <mergeCell ref="C3:D10"/>
    <mergeCell ref="C13:D13"/>
    <mergeCell ref="C14:D14"/>
    <mergeCell ref="C15:D15"/>
    <mergeCell ref="C16:D16"/>
  </mergeCells>
  <dataValidations count="5">
    <dataValidation type="list" allowBlank="1" showInputMessage="1" showErrorMessage="1" sqref="B3" xr:uid="{00000000-0002-0000-0000-000000000000}">
      <formula1>"UMTT,20-m Shuttle,30-15IFT,1-mile run"</formula1>
    </dataValidation>
    <dataValidation type="list" allowBlank="1" showInputMessage="1" showErrorMessage="1" sqref="B15" xr:uid="{00000000-0002-0000-0000-000002000000}">
      <formula1>"HRmax (220-age),Karvonen (HRR)"</formula1>
    </dataValidation>
    <dataValidation type="list" allowBlank="1" showInputMessage="1" showErrorMessage="1" sqref="B17" xr:uid="{00000000-0002-0000-0000-000003000000}">
      <formula1>"Heart Rate,MAS,ASR"</formula1>
    </dataValidation>
    <dataValidation type="list" allowBlank="1" showInputMessage="1" showErrorMessage="1" sqref="B18" xr:uid="{00000000-0002-0000-0000-000004000000}">
      <formula1>"Capacity,Tempo Long Intervals,Tempo Short Intervals,VO2max Intervals"</formula1>
    </dataValidation>
    <dataValidation type="list" allowBlank="1" showInputMessage="1" showErrorMessage="1" sqref="B19" xr:uid="{00000000-0002-0000-0000-000005000000}">
      <formula1>"Yes,No"</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workbookViewId="0">
      <selection activeCell="D2" sqref="D2:E4"/>
    </sheetView>
  </sheetViews>
  <sheetFormatPr baseColWidth="10" defaultColWidth="8.83203125" defaultRowHeight="15" x14ac:dyDescent="0.2"/>
  <cols>
    <col min="1" max="1" width="18.5" customWidth="1"/>
    <col min="2" max="2" width="17" customWidth="1"/>
    <col min="3" max="3" width="16" customWidth="1"/>
    <col min="4" max="4" width="23" customWidth="1"/>
    <col min="5" max="5" width="21.6640625" customWidth="1"/>
    <col min="6" max="6" width="24" customWidth="1"/>
    <col min="7" max="7" width="25.33203125" customWidth="1"/>
  </cols>
  <sheetData>
    <row r="1" spans="1:7" ht="19" x14ac:dyDescent="0.25">
      <c r="A1" s="21" t="s">
        <v>52</v>
      </c>
      <c r="B1" s="27" t="s">
        <v>53</v>
      </c>
      <c r="C1" s="28" t="s">
        <v>54</v>
      </c>
      <c r="D1" s="25" t="s">
        <v>216</v>
      </c>
      <c r="E1" s="26" t="s">
        <v>217</v>
      </c>
      <c r="F1" s="13" t="s">
        <v>55</v>
      </c>
      <c r="G1" s="14" t="s">
        <v>56</v>
      </c>
    </row>
    <row r="2" spans="1:7" ht="19" x14ac:dyDescent="0.25">
      <c r="A2" s="22" t="s">
        <v>57</v>
      </c>
      <c r="B2" s="15">
        <v>0.5</v>
      </c>
      <c r="C2" s="16">
        <v>0.7</v>
      </c>
      <c r="D2" s="29">
        <f>'Do Not Touch - Backend'!$B$11</f>
        <v>93</v>
      </c>
      <c r="E2" s="30">
        <f>'Do Not Touch - Backend'!B12</f>
        <v>130</v>
      </c>
      <c r="F2" s="15">
        <f>'Do Not Touch - Backend'!B17</f>
        <v>122</v>
      </c>
      <c r="G2" s="16">
        <f>'Do Not Touch - Backend'!B18</f>
        <v>147</v>
      </c>
    </row>
    <row r="3" spans="1:7" ht="19" x14ac:dyDescent="0.25">
      <c r="A3" s="23" t="s">
        <v>58</v>
      </c>
      <c r="B3" s="17">
        <v>0.7</v>
      </c>
      <c r="C3" s="18">
        <v>0.85</v>
      </c>
      <c r="D3" s="31">
        <f>'Do Not Touch - Backend'!$B$13</f>
        <v>130</v>
      </c>
      <c r="E3" s="32">
        <f>'Do Not Touch - Backend'!B14</f>
        <v>157</v>
      </c>
      <c r="F3" s="17">
        <f>'Do Not Touch - Backend'!B19</f>
        <v>147</v>
      </c>
      <c r="G3" s="18">
        <f>'Do Not Touch - Backend'!B20</f>
        <v>166</v>
      </c>
    </row>
    <row r="4" spans="1:7" ht="20" thickBot="1" x14ac:dyDescent="0.3">
      <c r="A4" s="24" t="s">
        <v>59</v>
      </c>
      <c r="B4" s="19">
        <v>0.85</v>
      </c>
      <c r="C4" s="20">
        <v>0.95</v>
      </c>
      <c r="D4" s="33">
        <f>'Do Not Touch - Backend'!$B$15</f>
        <v>157</v>
      </c>
      <c r="E4" s="34">
        <f>HRmax</f>
        <v>185</v>
      </c>
      <c r="F4" s="19">
        <f>'Do Not Touch - Backend'!B21</f>
        <v>166</v>
      </c>
      <c r="G4" s="20">
        <f>HRmax</f>
        <v>185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76F79-D472-8B49-930D-DE328D2823CB}">
  <dimension ref="A1:Q75"/>
  <sheetViews>
    <sheetView workbookViewId="0">
      <selection activeCell="L46" sqref="L46"/>
    </sheetView>
  </sheetViews>
  <sheetFormatPr baseColWidth="10" defaultRowHeight="15" x14ac:dyDescent="0.2"/>
  <cols>
    <col min="8" max="8" width="27.33203125" customWidth="1"/>
    <col min="9" max="9" width="3.83203125" customWidth="1"/>
    <col min="11" max="11" width="20.5" customWidth="1"/>
    <col min="12" max="12" width="19.33203125" customWidth="1"/>
    <col min="13" max="13" width="13.83203125" customWidth="1"/>
    <col min="14" max="14" width="13" customWidth="1"/>
    <col min="15" max="15" width="20.5" customWidth="1"/>
    <col min="16" max="16" width="22.6640625" customWidth="1"/>
    <col min="17" max="17" width="22.1640625" customWidth="1"/>
  </cols>
  <sheetData>
    <row r="1" spans="1:17" x14ac:dyDescent="0.2">
      <c r="A1" s="45" t="s">
        <v>173</v>
      </c>
      <c r="B1" s="45"/>
      <c r="C1" s="45"/>
      <c r="D1" s="45"/>
      <c r="E1" s="45"/>
      <c r="F1" s="45"/>
      <c r="G1" s="45"/>
      <c r="H1" s="45"/>
      <c r="J1" s="45" t="s">
        <v>172</v>
      </c>
      <c r="K1" s="45"/>
      <c r="L1" s="45"/>
      <c r="M1" s="45"/>
      <c r="N1" s="45"/>
      <c r="O1" s="45"/>
      <c r="P1" s="45"/>
      <c r="Q1" s="45"/>
    </row>
    <row r="2" spans="1:17" x14ac:dyDescent="0.2">
      <c r="A2" s="45"/>
      <c r="B2" s="45"/>
      <c r="C2" s="45"/>
      <c r="D2" s="45"/>
      <c r="E2" s="45"/>
      <c r="F2" s="45"/>
      <c r="G2" s="45"/>
      <c r="H2" s="45"/>
      <c r="J2" s="45"/>
      <c r="K2" s="45"/>
      <c r="L2" s="45"/>
      <c r="M2" s="45"/>
      <c r="N2" s="45"/>
      <c r="O2" s="45"/>
      <c r="P2" s="45"/>
      <c r="Q2" s="45"/>
    </row>
    <row r="3" spans="1:17" x14ac:dyDescent="0.2">
      <c r="A3" s="45"/>
      <c r="B3" s="45"/>
      <c r="C3" s="45"/>
      <c r="D3" s="45"/>
      <c r="E3" s="45"/>
      <c r="F3" s="45"/>
      <c r="G3" s="45"/>
      <c r="H3" s="45"/>
      <c r="J3" s="45"/>
      <c r="K3" s="45"/>
      <c r="L3" s="45"/>
      <c r="M3" s="45"/>
      <c r="N3" s="45"/>
      <c r="O3" s="45"/>
      <c r="P3" s="45"/>
      <c r="Q3" s="45"/>
    </row>
    <row r="4" spans="1:17" x14ac:dyDescent="0.2">
      <c r="A4" s="46" t="s">
        <v>211</v>
      </c>
      <c r="B4" s="46"/>
      <c r="C4" s="46"/>
      <c r="D4" s="46"/>
      <c r="E4" s="46"/>
      <c r="F4" s="46"/>
      <c r="G4" s="46"/>
      <c r="H4" s="46"/>
      <c r="J4" s="12" t="s">
        <v>175</v>
      </c>
      <c r="K4" s="12" t="s">
        <v>145</v>
      </c>
      <c r="L4" s="12" t="s">
        <v>176</v>
      </c>
      <c r="M4" s="12" t="s">
        <v>177</v>
      </c>
      <c r="N4" s="12" t="s">
        <v>178</v>
      </c>
      <c r="O4" s="12" t="s">
        <v>179</v>
      </c>
      <c r="P4" s="12" t="s">
        <v>180</v>
      </c>
      <c r="Q4" s="12" t="s">
        <v>150</v>
      </c>
    </row>
    <row r="5" spans="1:17" x14ac:dyDescent="0.2">
      <c r="A5" s="46"/>
      <c r="B5" s="46"/>
      <c r="C5" s="46"/>
      <c r="D5" s="46"/>
      <c r="E5" s="46"/>
      <c r="F5" s="46"/>
      <c r="G5" s="46"/>
      <c r="H5" s="46"/>
      <c r="J5">
        <v>1</v>
      </c>
      <c r="K5">
        <v>8</v>
      </c>
      <c r="L5">
        <v>2.2200000000000002</v>
      </c>
      <c r="M5">
        <v>30</v>
      </c>
      <c r="N5">
        <v>15</v>
      </c>
      <c r="O5">
        <v>66.7</v>
      </c>
      <c r="P5" t="s">
        <v>181</v>
      </c>
      <c r="Q5">
        <v>66.7</v>
      </c>
    </row>
    <row r="6" spans="1:17" x14ac:dyDescent="0.2">
      <c r="A6" s="46"/>
      <c r="B6" s="46"/>
      <c r="C6" s="46"/>
      <c r="D6" s="46"/>
      <c r="E6" s="46"/>
      <c r="F6" s="46"/>
      <c r="G6" s="46"/>
      <c r="H6" s="46"/>
      <c r="J6">
        <v>2</v>
      </c>
      <c r="K6">
        <v>8.5</v>
      </c>
      <c r="L6">
        <v>2.36</v>
      </c>
      <c r="M6">
        <v>30</v>
      </c>
      <c r="N6">
        <v>15</v>
      </c>
      <c r="O6">
        <v>70.8</v>
      </c>
      <c r="P6" t="s">
        <v>182</v>
      </c>
      <c r="Q6">
        <v>137.5</v>
      </c>
    </row>
    <row r="7" spans="1:17" x14ac:dyDescent="0.2">
      <c r="A7" s="46"/>
      <c r="B7" s="46"/>
      <c r="C7" s="46"/>
      <c r="D7" s="46"/>
      <c r="E7" s="46"/>
      <c r="F7" s="46"/>
      <c r="G7" s="46"/>
      <c r="H7" s="46"/>
      <c r="J7">
        <v>3</v>
      </c>
      <c r="K7">
        <v>9</v>
      </c>
      <c r="L7">
        <v>2.5</v>
      </c>
      <c r="M7">
        <v>30</v>
      </c>
      <c r="N7">
        <v>15</v>
      </c>
      <c r="O7">
        <v>75</v>
      </c>
      <c r="P7" t="s">
        <v>183</v>
      </c>
      <c r="Q7">
        <v>212.5</v>
      </c>
    </row>
    <row r="8" spans="1:17" x14ac:dyDescent="0.2">
      <c r="J8">
        <v>4</v>
      </c>
      <c r="K8">
        <v>9.5</v>
      </c>
      <c r="L8">
        <v>2.64</v>
      </c>
      <c r="M8">
        <v>30</v>
      </c>
      <c r="N8">
        <v>15</v>
      </c>
      <c r="O8">
        <v>79.2</v>
      </c>
      <c r="P8" t="s">
        <v>184</v>
      </c>
      <c r="Q8">
        <v>291.7</v>
      </c>
    </row>
    <row r="9" spans="1:17" x14ac:dyDescent="0.2">
      <c r="J9">
        <v>5</v>
      </c>
      <c r="K9">
        <v>10</v>
      </c>
      <c r="L9">
        <v>2.78</v>
      </c>
      <c r="M9">
        <v>30</v>
      </c>
      <c r="N9">
        <v>15</v>
      </c>
      <c r="O9">
        <v>83.3</v>
      </c>
      <c r="P9" t="s">
        <v>185</v>
      </c>
      <c r="Q9">
        <v>375</v>
      </c>
    </row>
    <row r="10" spans="1:17" x14ac:dyDescent="0.2">
      <c r="J10">
        <v>6</v>
      </c>
      <c r="K10">
        <v>10.5</v>
      </c>
      <c r="L10">
        <v>2.92</v>
      </c>
      <c r="M10">
        <v>30</v>
      </c>
      <c r="N10">
        <v>15</v>
      </c>
      <c r="O10">
        <v>87.5</v>
      </c>
      <c r="P10" t="s">
        <v>186</v>
      </c>
      <c r="Q10">
        <v>462.5</v>
      </c>
    </row>
    <row r="11" spans="1:17" x14ac:dyDescent="0.2">
      <c r="J11">
        <v>7</v>
      </c>
      <c r="K11">
        <v>11</v>
      </c>
      <c r="L11">
        <v>3.06</v>
      </c>
      <c r="M11">
        <v>30</v>
      </c>
      <c r="N11">
        <v>15</v>
      </c>
      <c r="O11">
        <v>91.7</v>
      </c>
      <c r="P11" t="s">
        <v>187</v>
      </c>
      <c r="Q11">
        <v>554.20000000000005</v>
      </c>
    </row>
    <row r="12" spans="1:17" x14ac:dyDescent="0.2">
      <c r="J12">
        <v>8</v>
      </c>
      <c r="K12">
        <v>11.5</v>
      </c>
      <c r="L12">
        <v>3.19</v>
      </c>
      <c r="M12">
        <v>30</v>
      </c>
      <c r="N12">
        <v>15</v>
      </c>
      <c r="O12">
        <v>95.8</v>
      </c>
      <c r="P12" t="s">
        <v>188</v>
      </c>
      <c r="Q12">
        <v>650</v>
      </c>
    </row>
    <row r="13" spans="1:17" x14ac:dyDescent="0.2">
      <c r="J13">
        <v>9</v>
      </c>
      <c r="K13">
        <v>12</v>
      </c>
      <c r="L13">
        <v>3.33</v>
      </c>
      <c r="M13">
        <v>30</v>
      </c>
      <c r="N13">
        <v>15</v>
      </c>
      <c r="O13">
        <v>100</v>
      </c>
      <c r="P13" t="s">
        <v>189</v>
      </c>
      <c r="Q13">
        <v>750</v>
      </c>
    </row>
    <row r="14" spans="1:17" x14ac:dyDescent="0.2">
      <c r="J14">
        <v>10</v>
      </c>
      <c r="K14">
        <v>12.5</v>
      </c>
      <c r="L14">
        <v>3.47</v>
      </c>
      <c r="M14">
        <v>30</v>
      </c>
      <c r="N14">
        <v>15</v>
      </c>
      <c r="O14">
        <v>104.2</v>
      </c>
      <c r="P14" t="s">
        <v>190</v>
      </c>
      <c r="Q14">
        <v>854.2</v>
      </c>
    </row>
    <row r="15" spans="1:17" x14ac:dyDescent="0.2">
      <c r="J15">
        <v>11</v>
      </c>
      <c r="K15">
        <v>13</v>
      </c>
      <c r="L15">
        <v>3.61</v>
      </c>
      <c r="M15">
        <v>30</v>
      </c>
      <c r="N15">
        <v>15</v>
      </c>
      <c r="O15">
        <v>108.3</v>
      </c>
      <c r="P15" t="s">
        <v>191</v>
      </c>
      <c r="Q15">
        <v>962.5</v>
      </c>
    </row>
    <row r="16" spans="1:17" x14ac:dyDescent="0.2">
      <c r="J16">
        <v>12</v>
      </c>
      <c r="K16">
        <v>13.5</v>
      </c>
      <c r="L16">
        <v>3.75</v>
      </c>
      <c r="M16">
        <v>30</v>
      </c>
      <c r="N16">
        <v>15</v>
      </c>
      <c r="O16">
        <v>112.5</v>
      </c>
      <c r="P16" t="s">
        <v>192</v>
      </c>
      <c r="Q16">
        <v>1075</v>
      </c>
    </row>
    <row r="17" spans="1:17" x14ac:dyDescent="0.2">
      <c r="J17">
        <v>13</v>
      </c>
      <c r="K17">
        <v>14</v>
      </c>
      <c r="L17">
        <v>3.89</v>
      </c>
      <c r="M17">
        <v>30</v>
      </c>
      <c r="N17">
        <v>15</v>
      </c>
      <c r="O17">
        <v>116.7</v>
      </c>
      <c r="P17" t="s">
        <v>193</v>
      </c>
      <c r="Q17">
        <v>1191.7</v>
      </c>
    </row>
    <row r="18" spans="1:17" x14ac:dyDescent="0.2">
      <c r="J18">
        <v>14</v>
      </c>
      <c r="K18">
        <v>14.5</v>
      </c>
      <c r="L18">
        <v>4.03</v>
      </c>
      <c r="M18">
        <v>30</v>
      </c>
      <c r="N18">
        <v>15</v>
      </c>
      <c r="O18">
        <v>120.8</v>
      </c>
      <c r="P18" t="s">
        <v>194</v>
      </c>
      <c r="Q18">
        <v>1312.5</v>
      </c>
    </row>
    <row r="19" spans="1:17" x14ac:dyDescent="0.2">
      <c r="J19">
        <v>15</v>
      </c>
      <c r="K19">
        <v>15</v>
      </c>
      <c r="L19">
        <v>4.17</v>
      </c>
      <c r="M19">
        <v>30</v>
      </c>
      <c r="N19">
        <v>15</v>
      </c>
      <c r="O19">
        <v>125</v>
      </c>
      <c r="P19" t="s">
        <v>195</v>
      </c>
      <c r="Q19">
        <v>1437.5</v>
      </c>
    </row>
    <row r="20" spans="1:17" x14ac:dyDescent="0.2">
      <c r="J20">
        <v>16</v>
      </c>
      <c r="K20">
        <v>15.5</v>
      </c>
      <c r="L20">
        <v>4.3099999999999996</v>
      </c>
      <c r="M20">
        <v>30</v>
      </c>
      <c r="N20">
        <v>15</v>
      </c>
      <c r="O20">
        <v>129.19999999999999</v>
      </c>
      <c r="P20" t="s">
        <v>196</v>
      </c>
      <c r="Q20">
        <v>1566.7</v>
      </c>
    </row>
    <row r="21" spans="1:17" x14ac:dyDescent="0.2">
      <c r="J21">
        <v>17</v>
      </c>
      <c r="K21">
        <v>16</v>
      </c>
      <c r="L21">
        <v>4.4400000000000004</v>
      </c>
      <c r="M21">
        <v>30</v>
      </c>
      <c r="N21">
        <v>15</v>
      </c>
      <c r="O21">
        <v>133.30000000000001</v>
      </c>
      <c r="P21" t="s">
        <v>197</v>
      </c>
      <c r="Q21">
        <v>1700</v>
      </c>
    </row>
    <row r="22" spans="1:17" x14ac:dyDescent="0.2">
      <c r="J22">
        <v>18</v>
      </c>
      <c r="K22">
        <v>16.5</v>
      </c>
      <c r="L22">
        <v>4.58</v>
      </c>
      <c r="M22">
        <v>30</v>
      </c>
      <c r="N22">
        <v>15</v>
      </c>
      <c r="O22">
        <v>137.5</v>
      </c>
      <c r="P22" t="s">
        <v>198</v>
      </c>
      <c r="Q22">
        <v>1837.5</v>
      </c>
    </row>
    <row r="23" spans="1:17" x14ac:dyDescent="0.2">
      <c r="J23">
        <v>19</v>
      </c>
      <c r="K23">
        <v>17</v>
      </c>
      <c r="L23">
        <v>4.72</v>
      </c>
      <c r="M23">
        <v>30</v>
      </c>
      <c r="N23">
        <v>15</v>
      </c>
      <c r="O23">
        <v>141.69999999999999</v>
      </c>
      <c r="P23" t="s">
        <v>199</v>
      </c>
      <c r="Q23">
        <v>1979.2</v>
      </c>
    </row>
    <row r="24" spans="1:17" x14ac:dyDescent="0.2">
      <c r="J24">
        <v>20</v>
      </c>
      <c r="K24">
        <v>17.5</v>
      </c>
      <c r="L24">
        <v>4.8600000000000003</v>
      </c>
      <c r="M24">
        <v>30</v>
      </c>
      <c r="N24">
        <v>15</v>
      </c>
      <c r="O24">
        <v>145.80000000000001</v>
      </c>
      <c r="P24" t="s">
        <v>200</v>
      </c>
      <c r="Q24">
        <v>2125</v>
      </c>
    </row>
    <row r="25" spans="1:17" x14ac:dyDescent="0.2">
      <c r="J25">
        <v>21</v>
      </c>
      <c r="K25">
        <v>18</v>
      </c>
      <c r="L25">
        <v>5</v>
      </c>
      <c r="M25">
        <v>30</v>
      </c>
      <c r="N25">
        <v>15</v>
      </c>
      <c r="O25">
        <v>150</v>
      </c>
      <c r="P25" t="s">
        <v>201</v>
      </c>
      <c r="Q25">
        <v>2275</v>
      </c>
    </row>
    <row r="26" spans="1:17" x14ac:dyDescent="0.2">
      <c r="J26">
        <v>22</v>
      </c>
      <c r="K26">
        <v>18.5</v>
      </c>
      <c r="L26">
        <v>5.14</v>
      </c>
      <c r="M26">
        <v>30</v>
      </c>
      <c r="N26">
        <v>15</v>
      </c>
      <c r="O26">
        <v>154.19999999999999</v>
      </c>
      <c r="P26" t="s">
        <v>202</v>
      </c>
      <c r="Q26">
        <v>2429.1999999999998</v>
      </c>
    </row>
    <row r="27" spans="1:17" x14ac:dyDescent="0.2">
      <c r="J27">
        <v>23</v>
      </c>
      <c r="K27">
        <v>19</v>
      </c>
      <c r="L27">
        <v>5.28</v>
      </c>
      <c r="M27">
        <v>30</v>
      </c>
      <c r="N27">
        <v>15</v>
      </c>
      <c r="O27">
        <v>158.30000000000001</v>
      </c>
      <c r="P27" t="s">
        <v>203</v>
      </c>
      <c r="Q27">
        <v>2587.5</v>
      </c>
    </row>
    <row r="28" spans="1:17" x14ac:dyDescent="0.2">
      <c r="J28">
        <v>24</v>
      </c>
      <c r="K28">
        <v>19.5</v>
      </c>
      <c r="L28">
        <v>5.42</v>
      </c>
      <c r="M28">
        <v>30</v>
      </c>
      <c r="N28">
        <v>15</v>
      </c>
      <c r="O28">
        <v>162.5</v>
      </c>
      <c r="P28" t="s">
        <v>204</v>
      </c>
      <c r="Q28">
        <v>2750</v>
      </c>
    </row>
    <row r="29" spans="1:17" x14ac:dyDescent="0.2">
      <c r="J29">
        <v>25</v>
      </c>
      <c r="K29">
        <v>20</v>
      </c>
      <c r="L29">
        <v>5.56</v>
      </c>
      <c r="M29">
        <v>30</v>
      </c>
      <c r="N29">
        <v>15</v>
      </c>
      <c r="O29">
        <v>166.7</v>
      </c>
      <c r="P29" t="s">
        <v>205</v>
      </c>
      <c r="Q29">
        <v>2916.7</v>
      </c>
    </row>
    <row r="30" spans="1:17" x14ac:dyDescent="0.2">
      <c r="J30">
        <v>26</v>
      </c>
      <c r="K30">
        <v>20.5</v>
      </c>
      <c r="L30">
        <v>5.69</v>
      </c>
      <c r="M30">
        <v>30</v>
      </c>
      <c r="N30">
        <v>15</v>
      </c>
      <c r="O30">
        <v>170.8</v>
      </c>
      <c r="P30" t="s">
        <v>206</v>
      </c>
      <c r="Q30">
        <v>3087.5</v>
      </c>
    </row>
    <row r="31" spans="1:17" ht="15" customHeight="1" x14ac:dyDescent="0.2">
      <c r="A31" s="47" t="s">
        <v>141</v>
      </c>
      <c r="B31" s="47"/>
      <c r="C31" s="47"/>
      <c r="D31" s="47"/>
      <c r="E31" s="47"/>
      <c r="F31" s="47"/>
      <c r="G31" s="47"/>
      <c r="H31" s="47"/>
      <c r="J31">
        <v>27</v>
      </c>
      <c r="K31">
        <v>21</v>
      </c>
      <c r="L31">
        <v>5.83</v>
      </c>
      <c r="M31">
        <v>30</v>
      </c>
      <c r="N31">
        <v>15</v>
      </c>
      <c r="O31">
        <v>175</v>
      </c>
      <c r="P31" t="s">
        <v>207</v>
      </c>
      <c r="Q31">
        <v>3262.5</v>
      </c>
    </row>
    <row r="32" spans="1:17" ht="15" customHeight="1" x14ac:dyDescent="0.2">
      <c r="A32" s="47"/>
      <c r="B32" s="47"/>
      <c r="C32" s="47"/>
      <c r="D32" s="47"/>
      <c r="E32" s="47"/>
      <c r="F32" s="47"/>
      <c r="G32" s="47"/>
      <c r="H32" s="47"/>
      <c r="J32">
        <v>28</v>
      </c>
      <c r="K32">
        <v>21.5</v>
      </c>
      <c r="L32">
        <v>5.97</v>
      </c>
      <c r="M32">
        <v>30</v>
      </c>
      <c r="N32">
        <v>15</v>
      </c>
      <c r="O32">
        <v>179.2</v>
      </c>
      <c r="P32" t="s">
        <v>208</v>
      </c>
      <c r="Q32">
        <v>3441.7</v>
      </c>
    </row>
    <row r="33" spans="1:17" ht="15" customHeight="1" x14ac:dyDescent="0.2">
      <c r="A33" s="47"/>
      <c r="B33" s="47"/>
      <c r="C33" s="47"/>
      <c r="D33" s="47"/>
      <c r="E33" s="47"/>
      <c r="F33" s="47"/>
      <c r="G33" s="47"/>
      <c r="H33" s="47"/>
      <c r="J33">
        <v>29</v>
      </c>
      <c r="K33">
        <v>22</v>
      </c>
      <c r="L33">
        <v>6.11</v>
      </c>
      <c r="M33">
        <v>30</v>
      </c>
      <c r="N33">
        <v>15</v>
      </c>
      <c r="O33">
        <v>183.3</v>
      </c>
      <c r="P33" t="s">
        <v>209</v>
      </c>
      <c r="Q33">
        <v>3625</v>
      </c>
    </row>
    <row r="34" spans="1:17" ht="15" customHeight="1" x14ac:dyDescent="0.2">
      <c r="A34" s="47"/>
      <c r="B34" s="47"/>
      <c r="C34" s="47"/>
      <c r="D34" s="47"/>
      <c r="E34" s="47"/>
      <c r="F34" s="47"/>
      <c r="G34" s="47"/>
      <c r="H34" s="47"/>
      <c r="J34">
        <v>30</v>
      </c>
      <c r="K34">
        <v>22.5</v>
      </c>
      <c r="L34">
        <v>6.25</v>
      </c>
      <c r="M34">
        <v>30</v>
      </c>
      <c r="N34">
        <v>15</v>
      </c>
      <c r="O34">
        <v>187.5</v>
      </c>
      <c r="P34" t="s">
        <v>210</v>
      </c>
      <c r="Q34">
        <v>3812.5</v>
      </c>
    </row>
    <row r="35" spans="1:17" ht="15" customHeight="1" x14ac:dyDescent="0.2">
      <c r="A35" s="47"/>
      <c r="B35" s="47"/>
      <c r="C35" s="47"/>
      <c r="D35" s="47"/>
      <c r="E35" s="47"/>
      <c r="F35" s="47"/>
      <c r="G35" s="47"/>
      <c r="H35" s="47"/>
    </row>
    <row r="36" spans="1:17" ht="15" customHeight="1" x14ac:dyDescent="0.2">
      <c r="A36" s="47"/>
      <c r="B36" s="47"/>
      <c r="C36" s="47"/>
      <c r="D36" s="47"/>
      <c r="E36" s="47"/>
      <c r="F36" s="47"/>
      <c r="G36" s="47"/>
      <c r="H36" s="47"/>
    </row>
    <row r="37" spans="1:17" ht="15" customHeight="1" x14ac:dyDescent="0.2">
      <c r="A37" s="47"/>
      <c r="B37" s="47"/>
      <c r="C37" s="47"/>
      <c r="D37" s="47"/>
      <c r="E37" s="47"/>
      <c r="F37" s="47"/>
      <c r="G37" s="47"/>
      <c r="H37" s="47"/>
    </row>
    <row r="38" spans="1:17" ht="15" customHeight="1" x14ac:dyDescent="0.2">
      <c r="A38" s="47"/>
      <c r="B38" s="47"/>
      <c r="C38" s="47"/>
      <c r="D38" s="47"/>
      <c r="E38" s="47"/>
      <c r="F38" s="47"/>
      <c r="G38" s="47"/>
      <c r="H38" s="47"/>
    </row>
    <row r="39" spans="1:17" ht="15" customHeight="1" x14ac:dyDescent="0.2">
      <c r="A39" s="47"/>
      <c r="B39" s="47"/>
      <c r="C39" s="47"/>
      <c r="D39" s="47"/>
      <c r="E39" s="47"/>
      <c r="F39" s="47"/>
      <c r="G39" s="47"/>
      <c r="H39" s="47"/>
    </row>
    <row r="40" spans="1:17" ht="15" customHeight="1" x14ac:dyDescent="0.2">
      <c r="A40" s="47"/>
      <c r="B40" s="47"/>
      <c r="C40" s="47"/>
      <c r="D40" s="47"/>
      <c r="E40" s="47"/>
      <c r="F40" s="47"/>
      <c r="G40" s="47"/>
      <c r="H40" s="47"/>
    </row>
    <row r="41" spans="1:17" ht="15" customHeight="1" x14ac:dyDescent="0.2">
      <c r="A41" s="47"/>
      <c r="B41" s="47"/>
      <c r="C41" s="47"/>
      <c r="D41" s="47"/>
      <c r="E41" s="47"/>
      <c r="F41" s="47"/>
      <c r="G41" s="47"/>
      <c r="H41" s="47"/>
    </row>
    <row r="42" spans="1:17" ht="15" customHeight="1" x14ac:dyDescent="0.2">
      <c r="A42" s="47"/>
      <c r="B42" s="47"/>
      <c r="C42" s="47"/>
      <c r="D42" s="47"/>
      <c r="E42" s="47"/>
      <c r="F42" s="47"/>
      <c r="G42" s="47"/>
      <c r="H42" s="47"/>
    </row>
    <row r="43" spans="1:17" ht="15" customHeight="1" x14ac:dyDescent="0.2">
      <c r="A43" s="47"/>
      <c r="B43" s="47"/>
      <c r="C43" s="47"/>
      <c r="D43" s="47"/>
      <c r="E43" s="47"/>
      <c r="F43" s="47"/>
      <c r="G43" s="47"/>
      <c r="H43" s="47"/>
    </row>
    <row r="44" spans="1:17" ht="15" customHeight="1" x14ac:dyDescent="0.2">
      <c r="A44" s="47"/>
      <c r="B44" s="47"/>
      <c r="C44" s="47"/>
      <c r="D44" s="47"/>
      <c r="E44" s="47"/>
      <c r="F44" s="47"/>
      <c r="G44" s="47"/>
      <c r="H44" s="47"/>
    </row>
    <row r="45" spans="1:17" ht="15" customHeight="1" x14ac:dyDescent="0.2">
      <c r="A45" s="47"/>
      <c r="B45" s="47"/>
      <c r="C45" s="47"/>
      <c r="D45" s="47"/>
      <c r="E45" s="47"/>
      <c r="F45" s="47"/>
      <c r="G45" s="47"/>
      <c r="H45" s="47"/>
    </row>
    <row r="46" spans="1:17" ht="33" customHeight="1" x14ac:dyDescent="0.2">
      <c r="A46" s="47"/>
      <c r="B46" s="47"/>
      <c r="C46" s="47"/>
      <c r="D46" s="47"/>
      <c r="E46" s="47"/>
      <c r="F46" s="47"/>
      <c r="G46" s="47"/>
      <c r="H46" s="47"/>
    </row>
    <row r="47" spans="1:17" ht="15" customHeight="1" x14ac:dyDescent="0.2">
      <c r="A47" s="47"/>
      <c r="B47" s="47"/>
      <c r="C47" s="47"/>
      <c r="D47" s="47"/>
      <c r="E47" s="47"/>
      <c r="F47" s="47"/>
      <c r="G47" s="47"/>
      <c r="H47" s="47"/>
    </row>
    <row r="48" spans="1:17" ht="15" customHeight="1" x14ac:dyDescent="0.2">
      <c r="A48" s="47"/>
      <c r="B48" s="47"/>
      <c r="C48" s="47"/>
      <c r="D48" s="47"/>
      <c r="E48" s="47"/>
      <c r="F48" s="47"/>
      <c r="G48" s="47"/>
      <c r="H48" s="47"/>
    </row>
    <row r="49" spans="1:8" ht="15" customHeight="1" x14ac:dyDescent="0.2">
      <c r="A49" s="47"/>
      <c r="B49" s="47"/>
      <c r="C49" s="47"/>
      <c r="D49" s="47"/>
      <c r="E49" s="47"/>
      <c r="F49" s="47"/>
      <c r="G49" s="47"/>
      <c r="H49" s="47"/>
    </row>
    <row r="50" spans="1:8" ht="15" customHeight="1" x14ac:dyDescent="0.2">
      <c r="A50" s="47"/>
      <c r="B50" s="47"/>
      <c r="C50" s="47"/>
      <c r="D50" s="47"/>
      <c r="E50" s="47"/>
      <c r="F50" s="47"/>
      <c r="G50" s="47"/>
      <c r="H50" s="47"/>
    </row>
    <row r="51" spans="1:8" ht="15" customHeight="1" x14ac:dyDescent="0.2">
      <c r="A51" s="47"/>
      <c r="B51" s="47"/>
      <c r="C51" s="47"/>
      <c r="D51" s="47"/>
      <c r="E51" s="47"/>
      <c r="F51" s="47"/>
      <c r="G51" s="47"/>
      <c r="H51" s="47"/>
    </row>
    <row r="52" spans="1:8" ht="15" customHeight="1" x14ac:dyDescent="0.2">
      <c r="A52" s="47"/>
      <c r="B52" s="47"/>
      <c r="C52" s="47"/>
      <c r="D52" s="47"/>
      <c r="E52" s="47"/>
      <c r="F52" s="47"/>
      <c r="G52" s="47"/>
      <c r="H52" s="47"/>
    </row>
    <row r="53" spans="1:8" ht="15" customHeight="1" x14ac:dyDescent="0.2">
      <c r="A53" s="47"/>
      <c r="B53" s="47"/>
      <c r="C53" s="47"/>
      <c r="D53" s="47"/>
      <c r="E53" s="47"/>
      <c r="F53" s="47"/>
      <c r="G53" s="47"/>
      <c r="H53" s="47"/>
    </row>
    <row r="54" spans="1:8" ht="15" customHeight="1" x14ac:dyDescent="0.2">
      <c r="A54" s="47"/>
      <c r="B54" s="47"/>
      <c r="C54" s="47"/>
      <c r="D54" s="47"/>
      <c r="E54" s="47"/>
      <c r="F54" s="47"/>
      <c r="G54" s="47"/>
      <c r="H54" s="47"/>
    </row>
    <row r="55" spans="1:8" ht="15" customHeight="1" x14ac:dyDescent="0.2">
      <c r="A55" s="47"/>
      <c r="B55" s="47"/>
      <c r="C55" s="47"/>
      <c r="D55" s="47"/>
      <c r="E55" s="47"/>
      <c r="F55" s="47"/>
      <c r="G55" s="47"/>
      <c r="H55" s="47"/>
    </row>
    <row r="56" spans="1:8" ht="15" customHeight="1" x14ac:dyDescent="0.2">
      <c r="A56" s="47"/>
      <c r="B56" s="47"/>
      <c r="C56" s="47"/>
      <c r="D56" s="47"/>
      <c r="E56" s="47"/>
      <c r="F56" s="47"/>
      <c r="G56" s="47"/>
      <c r="H56" s="47"/>
    </row>
    <row r="57" spans="1:8" ht="15" customHeight="1" x14ac:dyDescent="0.2">
      <c r="A57" s="47"/>
      <c r="B57" s="47"/>
      <c r="C57" s="47"/>
      <c r="D57" s="47"/>
      <c r="E57" s="47"/>
      <c r="F57" s="47"/>
      <c r="G57" s="47"/>
      <c r="H57" s="47"/>
    </row>
    <row r="58" spans="1:8" ht="15" customHeight="1" x14ac:dyDescent="0.2">
      <c r="A58" s="47"/>
      <c r="B58" s="47"/>
      <c r="C58" s="47"/>
      <c r="D58" s="47"/>
      <c r="E58" s="47"/>
      <c r="F58" s="47"/>
      <c r="G58" s="47"/>
      <c r="H58" s="47"/>
    </row>
    <row r="59" spans="1:8" ht="15" customHeight="1" x14ac:dyDescent="0.2">
      <c r="A59" s="47"/>
      <c r="B59" s="47"/>
      <c r="C59" s="47"/>
      <c r="D59" s="47"/>
      <c r="E59" s="47"/>
      <c r="F59" s="47"/>
      <c r="G59" s="47"/>
      <c r="H59" s="47"/>
    </row>
    <row r="60" spans="1:8" ht="15" customHeight="1" x14ac:dyDescent="0.2">
      <c r="A60" s="47"/>
      <c r="B60" s="47"/>
      <c r="C60" s="47"/>
      <c r="D60" s="47"/>
      <c r="E60" s="47"/>
      <c r="F60" s="47"/>
      <c r="G60" s="47"/>
      <c r="H60" s="47"/>
    </row>
    <row r="61" spans="1:8" ht="15" customHeight="1" x14ac:dyDescent="0.2">
      <c r="A61" s="47"/>
      <c r="B61" s="47"/>
      <c r="C61" s="47"/>
      <c r="D61" s="47"/>
      <c r="E61" s="47"/>
      <c r="F61" s="47"/>
      <c r="G61" s="47"/>
      <c r="H61" s="47"/>
    </row>
    <row r="62" spans="1:8" ht="15" customHeight="1" x14ac:dyDescent="0.2">
      <c r="A62" s="47"/>
      <c r="B62" s="47"/>
      <c r="C62" s="47"/>
      <c r="D62" s="47"/>
      <c r="E62" s="47"/>
      <c r="F62" s="47"/>
      <c r="G62" s="47"/>
      <c r="H62" s="47"/>
    </row>
    <row r="63" spans="1:8" ht="15" customHeight="1" x14ac:dyDescent="0.2">
      <c r="A63" s="47"/>
      <c r="B63" s="47"/>
      <c r="C63" s="47"/>
      <c r="D63" s="47"/>
      <c r="E63" s="47"/>
      <c r="F63" s="47"/>
      <c r="G63" s="47"/>
      <c r="H63" s="47"/>
    </row>
    <row r="64" spans="1:8" ht="15" customHeight="1" x14ac:dyDescent="0.2">
      <c r="A64" s="47"/>
      <c r="B64" s="47"/>
      <c r="C64" s="47"/>
      <c r="D64" s="47"/>
      <c r="E64" s="47"/>
      <c r="F64" s="47"/>
      <c r="G64" s="47"/>
      <c r="H64" s="47"/>
    </row>
    <row r="65" spans="1:8" ht="15" customHeight="1" x14ac:dyDescent="0.2">
      <c r="A65" s="47"/>
      <c r="B65" s="47"/>
      <c r="C65" s="47"/>
      <c r="D65" s="47"/>
      <c r="E65" s="47"/>
      <c r="F65" s="47"/>
      <c r="G65" s="47"/>
      <c r="H65" s="47"/>
    </row>
    <row r="66" spans="1:8" ht="15" customHeight="1" x14ac:dyDescent="0.2">
      <c r="A66" s="47"/>
      <c r="B66" s="47"/>
      <c r="C66" s="47"/>
      <c r="D66" s="47"/>
      <c r="E66" s="47"/>
      <c r="F66" s="47"/>
      <c r="G66" s="47"/>
      <c r="H66" s="47"/>
    </row>
    <row r="67" spans="1:8" ht="15" customHeight="1" x14ac:dyDescent="0.2">
      <c r="A67" s="47"/>
      <c r="B67" s="47"/>
      <c r="C67" s="47"/>
      <c r="D67" s="47"/>
      <c r="E67" s="47"/>
      <c r="F67" s="47"/>
      <c r="G67" s="47"/>
      <c r="H67" s="47"/>
    </row>
    <row r="68" spans="1:8" ht="15" customHeight="1" x14ac:dyDescent="0.2">
      <c r="A68" s="47"/>
      <c r="B68" s="47"/>
      <c r="C68" s="47"/>
      <c r="D68" s="47"/>
      <c r="E68" s="47"/>
      <c r="F68" s="47"/>
      <c r="G68" s="47"/>
      <c r="H68" s="47"/>
    </row>
    <row r="69" spans="1:8" ht="15" customHeight="1" x14ac:dyDescent="0.2">
      <c r="A69" s="47"/>
      <c r="B69" s="47"/>
      <c r="C69" s="47"/>
      <c r="D69" s="47"/>
      <c r="E69" s="47"/>
      <c r="F69" s="47"/>
      <c r="G69" s="47"/>
      <c r="H69" s="47"/>
    </row>
    <row r="70" spans="1:8" ht="15" customHeight="1" x14ac:dyDescent="0.2">
      <c r="A70" s="47"/>
      <c r="B70" s="47"/>
      <c r="C70" s="47"/>
      <c r="D70" s="47"/>
      <c r="E70" s="47"/>
      <c r="F70" s="47"/>
      <c r="G70" s="47"/>
      <c r="H70" s="47"/>
    </row>
    <row r="71" spans="1:8" ht="15" customHeight="1" x14ac:dyDescent="0.2">
      <c r="A71" s="47"/>
      <c r="B71" s="47"/>
      <c r="C71" s="47"/>
      <c r="D71" s="47"/>
      <c r="E71" s="47"/>
      <c r="F71" s="47"/>
      <c r="G71" s="47"/>
      <c r="H71" s="47"/>
    </row>
    <row r="72" spans="1:8" ht="15" customHeight="1" x14ac:dyDescent="0.2">
      <c r="A72" s="47"/>
      <c r="B72" s="47"/>
      <c r="C72" s="47"/>
      <c r="D72" s="47"/>
      <c r="E72" s="47"/>
      <c r="F72" s="47"/>
      <c r="G72" s="47"/>
      <c r="H72" s="47"/>
    </row>
    <row r="73" spans="1:8" ht="15" customHeight="1" x14ac:dyDescent="0.2">
      <c r="A73" s="47"/>
      <c r="B73" s="47"/>
      <c r="C73" s="47"/>
      <c r="D73" s="47"/>
      <c r="E73" s="47"/>
      <c r="F73" s="47"/>
      <c r="G73" s="47"/>
      <c r="H73" s="47"/>
    </row>
    <row r="74" spans="1:8" ht="15" customHeight="1" x14ac:dyDescent="0.2">
      <c r="A74" s="11"/>
      <c r="B74" s="11"/>
      <c r="C74" s="11"/>
      <c r="D74" s="11"/>
      <c r="E74" s="11"/>
      <c r="F74" s="11"/>
      <c r="G74" s="11"/>
      <c r="H74" s="11"/>
    </row>
    <row r="75" spans="1:8" ht="15" customHeight="1" x14ac:dyDescent="0.2">
      <c r="A75" s="11"/>
      <c r="B75" s="11"/>
      <c r="C75" s="11"/>
      <c r="D75" s="11"/>
      <c r="E75" s="11"/>
      <c r="F75" s="11"/>
      <c r="G75" s="11"/>
      <c r="H75" s="11"/>
    </row>
  </sheetData>
  <mergeCells count="4">
    <mergeCell ref="J1:Q3"/>
    <mergeCell ref="A4:H7"/>
    <mergeCell ref="A31:H73"/>
    <mergeCell ref="A1:H3"/>
  </mergeCells>
  <hyperlinks>
    <hyperlink ref="A4:H7" r:id="rId1" display="📱Click Here to Download 30-15IFT App on iTunes 📱" xr:uid="{DD3D5CC6-EC81-564E-9993-ED3E5E570357}"/>
  </hyperlinks>
  <pageMargins left="0.7" right="0.7" top="0.75" bottom="0.75" header="0.3" footer="0.3"/>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89622-A628-EE41-99D1-F1C45723E19B}">
  <dimension ref="A1:R72"/>
  <sheetViews>
    <sheetView topLeftCell="A3" workbookViewId="0">
      <selection activeCell="K48" sqref="K48"/>
    </sheetView>
  </sheetViews>
  <sheetFormatPr baseColWidth="10" defaultRowHeight="15" x14ac:dyDescent="0.2"/>
  <cols>
    <col min="10" max="10" width="4" customWidth="1"/>
    <col min="11" max="12" width="15.83203125" customWidth="1"/>
    <col min="13" max="13" width="20.5" customWidth="1"/>
    <col min="14" max="14" width="18.33203125" customWidth="1"/>
    <col min="15" max="15" width="18" customWidth="1"/>
    <col min="16" max="16" width="23.83203125" customWidth="1"/>
    <col min="17" max="17" width="20.5" customWidth="1"/>
    <col min="18" max="18" width="22.1640625" customWidth="1"/>
  </cols>
  <sheetData>
    <row r="1" spans="1:18" x14ac:dyDescent="0.2">
      <c r="A1" s="45" t="s">
        <v>140</v>
      </c>
      <c r="B1" s="45"/>
      <c r="C1" s="45"/>
      <c r="D1" s="45"/>
      <c r="E1" s="45"/>
      <c r="F1" s="45"/>
      <c r="G1" s="45"/>
      <c r="H1" s="45"/>
      <c r="I1" s="45"/>
      <c r="K1" s="45" t="s">
        <v>172</v>
      </c>
      <c r="L1" s="45"/>
      <c r="M1" s="45"/>
      <c r="N1" s="45"/>
      <c r="O1" s="45"/>
      <c r="P1" s="45"/>
      <c r="Q1" s="45"/>
      <c r="R1" s="45"/>
    </row>
    <row r="2" spans="1:18" x14ac:dyDescent="0.2">
      <c r="A2" s="45"/>
      <c r="B2" s="45"/>
      <c r="C2" s="45"/>
      <c r="D2" s="45"/>
      <c r="E2" s="45"/>
      <c r="F2" s="45"/>
      <c r="G2" s="45"/>
      <c r="H2" s="45"/>
      <c r="I2" s="45"/>
      <c r="K2" s="45"/>
      <c r="L2" s="45"/>
      <c r="M2" s="45"/>
      <c r="N2" s="45"/>
      <c r="O2" s="45"/>
      <c r="P2" s="45"/>
      <c r="Q2" s="45"/>
      <c r="R2" s="45"/>
    </row>
    <row r="3" spans="1:18" x14ac:dyDescent="0.2">
      <c r="A3" s="45"/>
      <c r="B3" s="45"/>
      <c r="C3" s="45"/>
      <c r="D3" s="45"/>
      <c r="E3" s="45"/>
      <c r="F3" s="45"/>
      <c r="G3" s="45"/>
      <c r="H3" s="45"/>
      <c r="I3" s="45"/>
      <c r="K3" s="45"/>
      <c r="L3" s="45"/>
      <c r="M3" s="45"/>
      <c r="N3" s="45"/>
      <c r="O3" s="45"/>
      <c r="P3" s="45"/>
      <c r="Q3" s="45"/>
      <c r="R3" s="45"/>
    </row>
    <row r="4" spans="1:18" x14ac:dyDescent="0.2">
      <c r="K4" s="12" t="s">
        <v>143</v>
      </c>
      <c r="L4" s="12" t="s">
        <v>144</v>
      </c>
      <c r="M4" s="12" t="s">
        <v>145</v>
      </c>
      <c r="N4" s="12" t="s">
        <v>146</v>
      </c>
      <c r="O4" s="12" t="s">
        <v>147</v>
      </c>
      <c r="P4" s="12" t="s">
        <v>148</v>
      </c>
      <c r="Q4" s="12" t="s">
        <v>149</v>
      </c>
      <c r="R4" s="12" t="s">
        <v>150</v>
      </c>
    </row>
    <row r="5" spans="1:18" x14ac:dyDescent="0.2">
      <c r="K5" s="3">
        <v>1</v>
      </c>
      <c r="L5" s="3">
        <v>7</v>
      </c>
      <c r="M5" s="3">
        <v>8</v>
      </c>
      <c r="N5" s="3">
        <v>9</v>
      </c>
      <c r="O5" s="3">
        <v>63</v>
      </c>
      <c r="P5" s="3" t="s">
        <v>151</v>
      </c>
      <c r="Q5" s="3">
        <v>140</v>
      </c>
      <c r="R5" s="3">
        <v>140</v>
      </c>
    </row>
    <row r="6" spans="1:18" x14ac:dyDescent="0.2">
      <c r="K6" s="3">
        <v>2</v>
      </c>
      <c r="L6" s="3">
        <v>8</v>
      </c>
      <c r="M6" s="3">
        <v>9</v>
      </c>
      <c r="N6" s="3">
        <v>8</v>
      </c>
      <c r="O6" s="3">
        <v>64</v>
      </c>
      <c r="P6" s="3" t="s">
        <v>152</v>
      </c>
      <c r="Q6" s="3">
        <v>160</v>
      </c>
      <c r="R6" s="3">
        <v>300</v>
      </c>
    </row>
    <row r="7" spans="1:18" x14ac:dyDescent="0.2">
      <c r="K7" s="3">
        <v>3</v>
      </c>
      <c r="L7" s="3">
        <v>8</v>
      </c>
      <c r="M7" s="3">
        <v>9.5</v>
      </c>
      <c r="N7" s="3">
        <v>7.58</v>
      </c>
      <c r="O7" s="3">
        <v>60.6</v>
      </c>
      <c r="P7" s="3" t="s">
        <v>153</v>
      </c>
      <c r="Q7" s="3">
        <v>160</v>
      </c>
      <c r="R7" s="3">
        <v>460</v>
      </c>
    </row>
    <row r="8" spans="1:18" x14ac:dyDescent="0.2">
      <c r="K8" s="3">
        <v>4</v>
      </c>
      <c r="L8" s="3">
        <v>9</v>
      </c>
      <c r="M8" s="3">
        <v>10</v>
      </c>
      <c r="N8" s="3">
        <v>7.2</v>
      </c>
      <c r="O8" s="3">
        <v>64.8</v>
      </c>
      <c r="P8" s="3" t="s">
        <v>154</v>
      </c>
      <c r="Q8" s="3">
        <v>180</v>
      </c>
      <c r="R8" s="3">
        <v>640</v>
      </c>
    </row>
    <row r="9" spans="1:18" x14ac:dyDescent="0.2">
      <c r="K9" s="3">
        <v>5</v>
      </c>
      <c r="L9" s="3">
        <v>9</v>
      </c>
      <c r="M9" s="3">
        <v>10.5</v>
      </c>
      <c r="N9" s="3">
        <v>6.86</v>
      </c>
      <c r="O9" s="3">
        <v>61.7</v>
      </c>
      <c r="P9" s="3" t="s">
        <v>155</v>
      </c>
      <c r="Q9" s="3">
        <v>180</v>
      </c>
      <c r="R9" s="3">
        <v>820</v>
      </c>
    </row>
    <row r="10" spans="1:18" x14ac:dyDescent="0.2">
      <c r="K10" s="3">
        <v>6</v>
      </c>
      <c r="L10" s="3">
        <v>10</v>
      </c>
      <c r="M10" s="3">
        <v>11</v>
      </c>
      <c r="N10" s="3">
        <v>6.55</v>
      </c>
      <c r="O10" s="3">
        <v>65.5</v>
      </c>
      <c r="P10" s="3" t="s">
        <v>156</v>
      </c>
      <c r="Q10" s="3">
        <v>200</v>
      </c>
      <c r="R10" s="3">
        <v>1020</v>
      </c>
    </row>
    <row r="11" spans="1:18" x14ac:dyDescent="0.2">
      <c r="K11" s="3">
        <v>7</v>
      </c>
      <c r="L11" s="3">
        <v>10</v>
      </c>
      <c r="M11" s="3">
        <v>11.5</v>
      </c>
      <c r="N11" s="3">
        <v>6.26</v>
      </c>
      <c r="O11" s="3">
        <v>62.6</v>
      </c>
      <c r="P11" s="3" t="s">
        <v>157</v>
      </c>
      <c r="Q11" s="3">
        <v>200</v>
      </c>
      <c r="R11" s="3">
        <v>1220</v>
      </c>
    </row>
    <row r="12" spans="1:18" x14ac:dyDescent="0.2">
      <c r="K12" s="3">
        <v>8</v>
      </c>
      <c r="L12" s="3">
        <v>11</v>
      </c>
      <c r="M12" s="3">
        <v>12</v>
      </c>
      <c r="N12" s="3">
        <v>6</v>
      </c>
      <c r="O12" s="3">
        <v>66</v>
      </c>
      <c r="P12" s="3" t="s">
        <v>158</v>
      </c>
      <c r="Q12" s="3">
        <v>220</v>
      </c>
      <c r="R12" s="3">
        <v>1440</v>
      </c>
    </row>
    <row r="13" spans="1:18" x14ac:dyDescent="0.2">
      <c r="K13" s="3">
        <v>9</v>
      </c>
      <c r="L13" s="3">
        <v>11</v>
      </c>
      <c r="M13" s="3">
        <v>12.5</v>
      </c>
      <c r="N13" s="3">
        <v>5.76</v>
      </c>
      <c r="O13" s="3">
        <v>63.4</v>
      </c>
      <c r="P13" s="3" t="s">
        <v>159</v>
      </c>
      <c r="Q13" s="3">
        <v>220</v>
      </c>
      <c r="R13" s="3">
        <v>1660</v>
      </c>
    </row>
    <row r="14" spans="1:18" x14ac:dyDescent="0.2">
      <c r="K14" s="3">
        <v>10</v>
      </c>
      <c r="L14" s="3">
        <v>11</v>
      </c>
      <c r="M14" s="3">
        <v>13</v>
      </c>
      <c r="N14" s="3">
        <v>5.54</v>
      </c>
      <c r="O14" s="3">
        <v>60.9</v>
      </c>
      <c r="P14" s="3" t="s">
        <v>160</v>
      </c>
      <c r="Q14" s="3">
        <v>220</v>
      </c>
      <c r="R14" s="3">
        <v>1880</v>
      </c>
    </row>
    <row r="15" spans="1:18" x14ac:dyDescent="0.2">
      <c r="K15" s="3">
        <v>11</v>
      </c>
      <c r="L15" s="3">
        <v>12</v>
      </c>
      <c r="M15" s="3">
        <v>13.5</v>
      </c>
      <c r="N15" s="3">
        <v>5.33</v>
      </c>
      <c r="O15" s="3">
        <v>64</v>
      </c>
      <c r="P15" s="3" t="s">
        <v>161</v>
      </c>
      <c r="Q15" s="3">
        <v>240</v>
      </c>
      <c r="R15" s="3">
        <v>2120</v>
      </c>
    </row>
    <row r="16" spans="1:18" x14ac:dyDescent="0.2">
      <c r="K16" s="3">
        <v>12</v>
      </c>
      <c r="L16" s="3">
        <v>12</v>
      </c>
      <c r="M16" s="3">
        <v>14</v>
      </c>
      <c r="N16" s="3">
        <v>5.14</v>
      </c>
      <c r="O16" s="3">
        <v>61.7</v>
      </c>
      <c r="P16" s="3" t="s">
        <v>162</v>
      </c>
      <c r="Q16" s="3">
        <v>240</v>
      </c>
      <c r="R16" s="3">
        <v>2360</v>
      </c>
    </row>
    <row r="17" spans="11:18" x14ac:dyDescent="0.2">
      <c r="K17" s="3">
        <v>13</v>
      </c>
      <c r="L17" s="3">
        <v>13</v>
      </c>
      <c r="M17" s="3">
        <v>14.5</v>
      </c>
      <c r="N17" s="3">
        <v>4.97</v>
      </c>
      <c r="O17" s="3">
        <v>64.599999999999994</v>
      </c>
      <c r="P17" s="3" t="s">
        <v>163</v>
      </c>
      <c r="Q17" s="3">
        <v>260</v>
      </c>
      <c r="R17" s="3">
        <v>2620</v>
      </c>
    </row>
    <row r="18" spans="11:18" x14ac:dyDescent="0.2">
      <c r="K18" s="3">
        <v>14</v>
      </c>
      <c r="L18" s="3">
        <v>13</v>
      </c>
      <c r="M18" s="3">
        <v>15</v>
      </c>
      <c r="N18" s="3">
        <v>4.8</v>
      </c>
      <c r="O18" s="3">
        <v>62.4</v>
      </c>
      <c r="P18" s="3" t="s">
        <v>164</v>
      </c>
      <c r="Q18" s="3">
        <v>260</v>
      </c>
      <c r="R18" s="3">
        <v>2880</v>
      </c>
    </row>
    <row r="19" spans="11:18" x14ac:dyDescent="0.2">
      <c r="K19" s="3">
        <v>15</v>
      </c>
      <c r="L19" s="3">
        <v>13</v>
      </c>
      <c r="M19" s="3">
        <v>15.5</v>
      </c>
      <c r="N19" s="3">
        <v>4.6500000000000004</v>
      </c>
      <c r="O19" s="3">
        <v>60.4</v>
      </c>
      <c r="P19" s="3" t="s">
        <v>165</v>
      </c>
      <c r="Q19" s="3">
        <v>260</v>
      </c>
      <c r="R19" s="3">
        <v>3140</v>
      </c>
    </row>
    <row r="20" spans="11:18" x14ac:dyDescent="0.2">
      <c r="K20" s="3">
        <v>16</v>
      </c>
      <c r="L20" s="3">
        <v>14</v>
      </c>
      <c r="M20" s="3">
        <v>16</v>
      </c>
      <c r="N20" s="3">
        <v>4.5</v>
      </c>
      <c r="O20" s="3">
        <v>63</v>
      </c>
      <c r="P20" s="3" t="s">
        <v>166</v>
      </c>
      <c r="Q20" s="3">
        <v>280</v>
      </c>
      <c r="R20" s="3">
        <v>3420</v>
      </c>
    </row>
    <row r="21" spans="11:18" x14ac:dyDescent="0.2">
      <c r="K21" s="3">
        <v>17</v>
      </c>
      <c r="L21" s="3">
        <v>14</v>
      </c>
      <c r="M21" s="3">
        <v>16.5</v>
      </c>
      <c r="N21" s="3">
        <v>4.3600000000000003</v>
      </c>
      <c r="O21" s="3">
        <v>61.1</v>
      </c>
      <c r="P21" s="3" t="s">
        <v>167</v>
      </c>
      <c r="Q21" s="3">
        <v>280</v>
      </c>
      <c r="R21" s="3">
        <v>3700</v>
      </c>
    </row>
    <row r="22" spans="11:18" x14ac:dyDescent="0.2">
      <c r="K22" s="3">
        <v>18</v>
      </c>
      <c r="L22" s="3">
        <v>15</v>
      </c>
      <c r="M22" s="3">
        <v>17</v>
      </c>
      <c r="N22" s="3">
        <v>4.24</v>
      </c>
      <c r="O22" s="3">
        <v>63.5</v>
      </c>
      <c r="P22" s="3" t="s">
        <v>168</v>
      </c>
      <c r="Q22" s="3">
        <v>300</v>
      </c>
      <c r="R22" s="3">
        <v>4000</v>
      </c>
    </row>
    <row r="23" spans="11:18" x14ac:dyDescent="0.2">
      <c r="K23" s="3">
        <v>19</v>
      </c>
      <c r="L23" s="3">
        <v>15</v>
      </c>
      <c r="M23" s="3">
        <v>17.5</v>
      </c>
      <c r="N23" s="3">
        <v>4.1100000000000003</v>
      </c>
      <c r="O23" s="3">
        <v>61.7</v>
      </c>
      <c r="P23" s="3" t="s">
        <v>169</v>
      </c>
      <c r="Q23" s="3">
        <v>300</v>
      </c>
      <c r="R23" s="3">
        <v>4300</v>
      </c>
    </row>
    <row r="24" spans="11:18" x14ac:dyDescent="0.2">
      <c r="K24" s="3">
        <v>20</v>
      </c>
      <c r="L24" s="3">
        <v>16</v>
      </c>
      <c r="M24" s="3">
        <v>18</v>
      </c>
      <c r="N24" s="3">
        <v>4</v>
      </c>
      <c r="O24" s="3">
        <v>64</v>
      </c>
      <c r="P24" s="3" t="s">
        <v>170</v>
      </c>
      <c r="Q24" s="3">
        <v>320</v>
      </c>
      <c r="R24" s="3">
        <v>4620</v>
      </c>
    </row>
    <row r="25" spans="11:18" x14ac:dyDescent="0.2">
      <c r="K25" s="3">
        <v>21</v>
      </c>
      <c r="L25" s="3">
        <v>16</v>
      </c>
      <c r="M25" s="3">
        <v>18.5</v>
      </c>
      <c r="N25" s="3">
        <v>3.89</v>
      </c>
      <c r="O25" s="3">
        <v>62.3</v>
      </c>
      <c r="P25" s="3" t="s">
        <v>171</v>
      </c>
      <c r="Q25" s="3">
        <v>320</v>
      </c>
      <c r="R25" s="3">
        <v>4940</v>
      </c>
    </row>
    <row r="27" spans="11:18" ht="16" x14ac:dyDescent="0.2">
      <c r="K27" s="50" t="s">
        <v>214</v>
      </c>
      <c r="L27" s="50"/>
      <c r="M27" s="50"/>
      <c r="N27" s="50"/>
      <c r="O27" s="50"/>
      <c r="P27" s="50"/>
      <c r="Q27" s="50"/>
      <c r="R27" s="50"/>
    </row>
    <row r="34" spans="1:9" x14ac:dyDescent="0.2">
      <c r="A34" s="48" t="s">
        <v>142</v>
      </c>
      <c r="B34" s="49"/>
      <c r="C34" s="49"/>
      <c r="D34" s="49"/>
      <c r="E34" s="49"/>
      <c r="F34" s="49"/>
      <c r="G34" s="49"/>
      <c r="H34" s="49"/>
      <c r="I34" s="49"/>
    </row>
    <row r="35" spans="1:9" x14ac:dyDescent="0.2">
      <c r="A35" s="49"/>
      <c r="B35" s="49"/>
      <c r="C35" s="49"/>
      <c r="D35" s="49"/>
      <c r="E35" s="49"/>
      <c r="F35" s="49"/>
      <c r="G35" s="49"/>
      <c r="H35" s="49"/>
      <c r="I35" s="49"/>
    </row>
    <row r="36" spans="1:9" x14ac:dyDescent="0.2">
      <c r="A36" s="49"/>
      <c r="B36" s="49"/>
      <c r="C36" s="49"/>
      <c r="D36" s="49"/>
      <c r="E36" s="49"/>
      <c r="F36" s="49"/>
      <c r="G36" s="49"/>
      <c r="H36" s="49"/>
      <c r="I36" s="49"/>
    </row>
    <row r="37" spans="1:9" x14ac:dyDescent="0.2">
      <c r="A37" s="49"/>
      <c r="B37" s="49"/>
      <c r="C37" s="49"/>
      <c r="D37" s="49"/>
      <c r="E37" s="49"/>
      <c r="F37" s="49"/>
      <c r="G37" s="49"/>
      <c r="H37" s="49"/>
      <c r="I37" s="49"/>
    </row>
    <row r="38" spans="1:9" x14ac:dyDescent="0.2">
      <c r="A38" s="49"/>
      <c r="B38" s="49"/>
      <c r="C38" s="49"/>
      <c r="D38" s="49"/>
      <c r="E38" s="49"/>
      <c r="F38" s="49"/>
      <c r="G38" s="49"/>
      <c r="H38" s="49"/>
      <c r="I38" s="49"/>
    </row>
    <row r="39" spans="1:9" x14ac:dyDescent="0.2">
      <c r="A39" s="49"/>
      <c r="B39" s="49"/>
      <c r="C39" s="49"/>
      <c r="D39" s="49"/>
      <c r="E39" s="49"/>
      <c r="F39" s="49"/>
      <c r="G39" s="49"/>
      <c r="H39" s="49"/>
      <c r="I39" s="49"/>
    </row>
    <row r="40" spans="1:9" x14ac:dyDescent="0.2">
      <c r="A40" s="49"/>
      <c r="B40" s="49"/>
      <c r="C40" s="49"/>
      <c r="D40" s="49"/>
      <c r="E40" s="49"/>
      <c r="F40" s="49"/>
      <c r="G40" s="49"/>
      <c r="H40" s="49"/>
      <c r="I40" s="49"/>
    </row>
    <row r="41" spans="1:9" x14ac:dyDescent="0.2">
      <c r="A41" s="49"/>
      <c r="B41" s="49"/>
      <c r="C41" s="49"/>
      <c r="D41" s="49"/>
      <c r="E41" s="49"/>
      <c r="F41" s="49"/>
      <c r="G41" s="49"/>
      <c r="H41" s="49"/>
      <c r="I41" s="49"/>
    </row>
    <row r="42" spans="1:9" x14ac:dyDescent="0.2">
      <c r="A42" s="49"/>
      <c r="B42" s="49"/>
      <c r="C42" s="49"/>
      <c r="D42" s="49"/>
      <c r="E42" s="49"/>
      <c r="F42" s="49"/>
      <c r="G42" s="49"/>
      <c r="H42" s="49"/>
      <c r="I42" s="49"/>
    </row>
    <row r="43" spans="1:9" x14ac:dyDescent="0.2">
      <c r="A43" s="49"/>
      <c r="B43" s="49"/>
      <c r="C43" s="49"/>
      <c r="D43" s="49"/>
      <c r="E43" s="49"/>
      <c r="F43" s="49"/>
      <c r="G43" s="49"/>
      <c r="H43" s="49"/>
      <c r="I43" s="49"/>
    </row>
    <row r="44" spans="1:9" x14ac:dyDescent="0.2">
      <c r="A44" s="49"/>
      <c r="B44" s="49"/>
      <c r="C44" s="49"/>
      <c r="D44" s="49"/>
      <c r="E44" s="49"/>
      <c r="F44" s="49"/>
      <c r="G44" s="49"/>
      <c r="H44" s="49"/>
      <c r="I44" s="49"/>
    </row>
    <row r="45" spans="1:9" x14ac:dyDescent="0.2">
      <c r="A45" s="49"/>
      <c r="B45" s="49"/>
      <c r="C45" s="49"/>
      <c r="D45" s="49"/>
      <c r="E45" s="49"/>
      <c r="F45" s="49"/>
      <c r="G45" s="49"/>
      <c r="H45" s="49"/>
      <c r="I45" s="49"/>
    </row>
    <row r="46" spans="1:9" x14ac:dyDescent="0.2">
      <c r="A46" s="49"/>
      <c r="B46" s="49"/>
      <c r="C46" s="49"/>
      <c r="D46" s="49"/>
      <c r="E46" s="49"/>
      <c r="F46" s="49"/>
      <c r="G46" s="49"/>
      <c r="H46" s="49"/>
      <c r="I46" s="49"/>
    </row>
    <row r="47" spans="1:9" x14ac:dyDescent="0.2">
      <c r="A47" s="49"/>
      <c r="B47" s="49"/>
      <c r="C47" s="49"/>
      <c r="D47" s="49"/>
      <c r="E47" s="49"/>
      <c r="F47" s="49"/>
      <c r="G47" s="49"/>
      <c r="H47" s="49"/>
      <c r="I47" s="49"/>
    </row>
    <row r="48" spans="1:9" x14ac:dyDescent="0.2">
      <c r="A48" s="49"/>
      <c r="B48" s="49"/>
      <c r="C48" s="49"/>
      <c r="D48" s="49"/>
      <c r="E48" s="49"/>
      <c r="F48" s="49"/>
      <c r="G48" s="49"/>
      <c r="H48" s="49"/>
      <c r="I48" s="49"/>
    </row>
    <row r="49" spans="1:9" x14ac:dyDescent="0.2">
      <c r="A49" s="49"/>
      <c r="B49" s="49"/>
      <c r="C49" s="49"/>
      <c r="D49" s="49"/>
      <c r="E49" s="49"/>
      <c r="F49" s="49"/>
      <c r="G49" s="49"/>
      <c r="H49" s="49"/>
      <c r="I49" s="49"/>
    </row>
    <row r="50" spans="1:9" x14ac:dyDescent="0.2">
      <c r="A50" s="49"/>
      <c r="B50" s="49"/>
      <c r="C50" s="49"/>
      <c r="D50" s="49"/>
      <c r="E50" s="49"/>
      <c r="F50" s="49"/>
      <c r="G50" s="49"/>
      <c r="H50" s="49"/>
      <c r="I50" s="49"/>
    </row>
    <row r="51" spans="1:9" x14ac:dyDescent="0.2">
      <c r="A51" s="49"/>
      <c r="B51" s="49"/>
      <c r="C51" s="49"/>
      <c r="D51" s="49"/>
      <c r="E51" s="49"/>
      <c r="F51" s="49"/>
      <c r="G51" s="49"/>
      <c r="H51" s="49"/>
      <c r="I51" s="49"/>
    </row>
    <row r="52" spans="1:9" x14ac:dyDescent="0.2">
      <c r="A52" s="49"/>
      <c r="B52" s="49"/>
      <c r="C52" s="49"/>
      <c r="D52" s="49"/>
      <c r="E52" s="49"/>
      <c r="F52" s="49"/>
      <c r="G52" s="49"/>
      <c r="H52" s="49"/>
      <c r="I52" s="49"/>
    </row>
    <row r="53" spans="1:9" x14ac:dyDescent="0.2">
      <c r="A53" s="49"/>
      <c r="B53" s="49"/>
      <c r="C53" s="49"/>
      <c r="D53" s="49"/>
      <c r="E53" s="49"/>
      <c r="F53" s="49"/>
      <c r="G53" s="49"/>
      <c r="H53" s="49"/>
      <c r="I53" s="49"/>
    </row>
    <row r="54" spans="1:9" x14ac:dyDescent="0.2">
      <c r="A54" s="49"/>
      <c r="B54" s="49"/>
      <c r="C54" s="49"/>
      <c r="D54" s="49"/>
      <c r="E54" s="49"/>
      <c r="F54" s="49"/>
      <c r="G54" s="49"/>
      <c r="H54" s="49"/>
      <c r="I54" s="49"/>
    </row>
    <row r="55" spans="1:9" x14ac:dyDescent="0.2">
      <c r="A55" s="49"/>
      <c r="B55" s="49"/>
      <c r="C55" s="49"/>
      <c r="D55" s="49"/>
      <c r="E55" s="49"/>
      <c r="F55" s="49"/>
      <c r="G55" s="49"/>
      <c r="H55" s="49"/>
      <c r="I55" s="49"/>
    </row>
    <row r="56" spans="1:9" x14ac:dyDescent="0.2">
      <c r="A56" s="49"/>
      <c r="B56" s="49"/>
      <c r="C56" s="49"/>
      <c r="D56" s="49"/>
      <c r="E56" s="49"/>
      <c r="F56" s="49"/>
      <c r="G56" s="49"/>
      <c r="H56" s="49"/>
      <c r="I56" s="49"/>
    </row>
    <row r="57" spans="1:9" x14ac:dyDescent="0.2">
      <c r="A57" s="49"/>
      <c r="B57" s="49"/>
      <c r="C57" s="49"/>
      <c r="D57" s="49"/>
      <c r="E57" s="49"/>
      <c r="F57" s="49"/>
      <c r="G57" s="49"/>
      <c r="H57" s="49"/>
      <c r="I57" s="49"/>
    </row>
    <row r="58" spans="1:9" x14ac:dyDescent="0.2">
      <c r="A58" s="49"/>
      <c r="B58" s="49"/>
      <c r="C58" s="49"/>
      <c r="D58" s="49"/>
      <c r="E58" s="49"/>
      <c r="F58" s="49"/>
      <c r="G58" s="49"/>
      <c r="H58" s="49"/>
      <c r="I58" s="49"/>
    </row>
    <row r="59" spans="1:9" x14ac:dyDescent="0.2">
      <c r="A59" s="49"/>
      <c r="B59" s="49"/>
      <c r="C59" s="49"/>
      <c r="D59" s="49"/>
      <c r="E59" s="49"/>
      <c r="F59" s="49"/>
      <c r="G59" s="49"/>
      <c r="H59" s="49"/>
      <c r="I59" s="49"/>
    </row>
    <row r="60" spans="1:9" x14ac:dyDescent="0.2">
      <c r="A60" s="49"/>
      <c r="B60" s="49"/>
      <c r="C60" s="49"/>
      <c r="D60" s="49"/>
      <c r="E60" s="49"/>
      <c r="F60" s="49"/>
      <c r="G60" s="49"/>
      <c r="H60" s="49"/>
      <c r="I60" s="49"/>
    </row>
    <row r="61" spans="1:9" x14ac:dyDescent="0.2">
      <c r="A61" s="49"/>
      <c r="B61" s="49"/>
      <c r="C61" s="49"/>
      <c r="D61" s="49"/>
      <c r="E61" s="49"/>
      <c r="F61" s="49"/>
      <c r="G61" s="49"/>
      <c r="H61" s="49"/>
      <c r="I61" s="49"/>
    </row>
    <row r="62" spans="1:9" x14ac:dyDescent="0.2">
      <c r="A62" s="49"/>
      <c r="B62" s="49"/>
      <c r="C62" s="49"/>
      <c r="D62" s="49"/>
      <c r="E62" s="49"/>
      <c r="F62" s="49"/>
      <c r="G62" s="49"/>
      <c r="H62" s="49"/>
      <c r="I62" s="49"/>
    </row>
    <row r="63" spans="1:9" x14ac:dyDescent="0.2">
      <c r="A63" s="49"/>
      <c r="B63" s="49"/>
      <c r="C63" s="49"/>
      <c r="D63" s="49"/>
      <c r="E63" s="49"/>
      <c r="F63" s="49"/>
      <c r="G63" s="49"/>
      <c r="H63" s="49"/>
      <c r="I63" s="49"/>
    </row>
    <row r="64" spans="1:9" x14ac:dyDescent="0.2">
      <c r="A64" s="49"/>
      <c r="B64" s="49"/>
      <c r="C64" s="49"/>
      <c r="D64" s="49"/>
      <c r="E64" s="49"/>
      <c r="F64" s="49"/>
      <c r="G64" s="49"/>
      <c r="H64" s="49"/>
      <c r="I64" s="49"/>
    </row>
    <row r="65" spans="1:9" x14ac:dyDescent="0.2">
      <c r="A65" s="49"/>
      <c r="B65" s="49"/>
      <c r="C65" s="49"/>
      <c r="D65" s="49"/>
      <c r="E65" s="49"/>
      <c r="F65" s="49"/>
      <c r="G65" s="49"/>
      <c r="H65" s="49"/>
      <c r="I65" s="49"/>
    </row>
    <row r="66" spans="1:9" x14ac:dyDescent="0.2">
      <c r="A66" s="49"/>
      <c r="B66" s="49"/>
      <c r="C66" s="49"/>
      <c r="D66" s="49"/>
      <c r="E66" s="49"/>
      <c r="F66" s="49"/>
      <c r="G66" s="49"/>
      <c r="H66" s="49"/>
      <c r="I66" s="49"/>
    </row>
    <row r="67" spans="1:9" x14ac:dyDescent="0.2">
      <c r="A67" s="49"/>
      <c r="B67" s="49"/>
      <c r="C67" s="49"/>
      <c r="D67" s="49"/>
      <c r="E67" s="49"/>
      <c r="F67" s="49"/>
      <c r="G67" s="49"/>
      <c r="H67" s="49"/>
      <c r="I67" s="49"/>
    </row>
    <row r="68" spans="1:9" x14ac:dyDescent="0.2">
      <c r="A68" s="49"/>
      <c r="B68" s="49"/>
      <c r="C68" s="49"/>
      <c r="D68" s="49"/>
      <c r="E68" s="49"/>
      <c r="F68" s="49"/>
      <c r="G68" s="49"/>
      <c r="H68" s="49"/>
      <c r="I68" s="49"/>
    </row>
    <row r="69" spans="1:9" x14ac:dyDescent="0.2">
      <c r="A69" s="49"/>
      <c r="B69" s="49"/>
      <c r="C69" s="49"/>
      <c r="D69" s="49"/>
      <c r="E69" s="49"/>
      <c r="F69" s="49"/>
      <c r="G69" s="49"/>
      <c r="H69" s="49"/>
      <c r="I69" s="49"/>
    </row>
    <row r="70" spans="1:9" x14ac:dyDescent="0.2">
      <c r="A70" s="49"/>
      <c r="B70" s="49"/>
      <c r="C70" s="49"/>
      <c r="D70" s="49"/>
      <c r="E70" s="49"/>
      <c r="F70" s="49"/>
      <c r="G70" s="49"/>
      <c r="H70" s="49"/>
      <c r="I70" s="49"/>
    </row>
    <row r="71" spans="1:9" x14ac:dyDescent="0.2">
      <c r="A71" s="49"/>
      <c r="B71" s="49"/>
      <c r="C71" s="49"/>
      <c r="D71" s="49"/>
      <c r="E71" s="49"/>
      <c r="F71" s="49"/>
      <c r="G71" s="49"/>
      <c r="H71" s="49"/>
      <c r="I71" s="49"/>
    </row>
    <row r="72" spans="1:9" x14ac:dyDescent="0.2">
      <c r="A72" s="49"/>
      <c r="B72" s="49"/>
      <c r="C72" s="49"/>
      <c r="D72" s="49"/>
      <c r="E72" s="49"/>
      <c r="F72" s="49"/>
      <c r="G72" s="49"/>
      <c r="H72" s="49"/>
      <c r="I72" s="49"/>
    </row>
  </sheetData>
  <mergeCells count="4">
    <mergeCell ref="A1:I3"/>
    <mergeCell ref="A34:I72"/>
    <mergeCell ref="K1:R3"/>
    <mergeCell ref="K27:R27"/>
  </mergeCell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8"/>
  <sheetViews>
    <sheetView zoomScale="125" zoomScaleNormal="251" workbookViewId="0">
      <selection activeCell="D29" sqref="D29"/>
    </sheetView>
  </sheetViews>
  <sheetFormatPr baseColWidth="10" defaultColWidth="8.83203125" defaultRowHeight="15" x14ac:dyDescent="0.2"/>
  <cols>
    <col min="1" max="1" width="92.83203125" customWidth="1"/>
  </cols>
  <sheetData>
    <row r="1" spans="1:1" ht="21" x14ac:dyDescent="0.25">
      <c r="A1" s="8" t="s">
        <v>60</v>
      </c>
    </row>
    <row r="3" spans="1:1" ht="16" x14ac:dyDescent="0.2">
      <c r="A3" s="9" t="s">
        <v>61</v>
      </c>
    </row>
    <row r="4" spans="1:1" x14ac:dyDescent="0.2">
      <c r="A4" t="s">
        <v>62</v>
      </c>
    </row>
    <row r="5" spans="1:1" x14ac:dyDescent="0.2">
      <c r="A5" t="s">
        <v>63</v>
      </c>
    </row>
    <row r="6" spans="1:1" x14ac:dyDescent="0.2">
      <c r="A6" t="s">
        <v>64</v>
      </c>
    </row>
    <row r="7" spans="1:1" x14ac:dyDescent="0.2">
      <c r="A7" t="s">
        <v>65</v>
      </c>
    </row>
    <row r="9" spans="1:1" ht="16" x14ac:dyDescent="0.2">
      <c r="A9" s="9" t="s">
        <v>66</v>
      </c>
    </row>
    <row r="10" spans="1:1" x14ac:dyDescent="0.2">
      <c r="A10" t="s">
        <v>67</v>
      </c>
    </row>
    <row r="11" spans="1:1" x14ac:dyDescent="0.2">
      <c r="A11" t="s">
        <v>68</v>
      </c>
    </row>
    <row r="12" spans="1:1" x14ac:dyDescent="0.2">
      <c r="A12" t="s">
        <v>69</v>
      </c>
    </row>
    <row r="13" spans="1:1" x14ac:dyDescent="0.2">
      <c r="A13" t="s">
        <v>70</v>
      </c>
    </row>
    <row r="14" spans="1:1" x14ac:dyDescent="0.2">
      <c r="A14" t="s">
        <v>71</v>
      </c>
    </row>
    <row r="16" spans="1:1" ht="16" x14ac:dyDescent="0.2">
      <c r="A16" s="9" t="s">
        <v>72</v>
      </c>
    </row>
    <row r="17" spans="1:1" x14ac:dyDescent="0.2">
      <c r="A17" t="s">
        <v>73</v>
      </c>
    </row>
    <row r="18" spans="1:1" x14ac:dyDescent="0.2">
      <c r="A18" t="s">
        <v>74</v>
      </c>
    </row>
    <row r="20" spans="1:1" ht="16" x14ac:dyDescent="0.2">
      <c r="A20" s="9" t="s">
        <v>75</v>
      </c>
    </row>
    <row r="21" spans="1:1" x14ac:dyDescent="0.2">
      <c r="A21" t="s">
        <v>76</v>
      </c>
    </row>
    <row r="22" spans="1:1" x14ac:dyDescent="0.2">
      <c r="A22" t="s">
        <v>77</v>
      </c>
    </row>
    <row r="23" spans="1:1" x14ac:dyDescent="0.2">
      <c r="A23" t="s">
        <v>78</v>
      </c>
    </row>
    <row r="25" spans="1:1" ht="16" x14ac:dyDescent="0.2">
      <c r="A25" s="9" t="s">
        <v>79</v>
      </c>
    </row>
    <row r="26" spans="1:1" x14ac:dyDescent="0.2">
      <c r="A26" t="s">
        <v>80</v>
      </c>
    </row>
    <row r="27" spans="1:1" x14ac:dyDescent="0.2">
      <c r="A27" t="s">
        <v>81</v>
      </c>
    </row>
    <row r="28" spans="1:1" x14ac:dyDescent="0.2">
      <c r="A28" t="s">
        <v>82</v>
      </c>
    </row>
  </sheetData>
  <sheetProtection algorithmName="SHA-512" hashValue="XHoIpJheSMEzCQBAsouYzK4M1W/ZdHjYnd40O/czkenjVBXeTqCWexUzcV+Gbe7qIfWKzuddjHYryoGA6pcyag==" saltValue="EfXFxtN4KGgwfvUp5ZTtHA==" spinCount="100000"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0"/>
  <sheetViews>
    <sheetView zoomScale="149" zoomScaleNormal="149" workbookViewId="0">
      <selection activeCell="E31" sqref="E31"/>
    </sheetView>
  </sheetViews>
  <sheetFormatPr baseColWidth="10" defaultColWidth="8.83203125" defaultRowHeight="15" x14ac:dyDescent="0.2"/>
  <cols>
    <col min="1" max="1" width="37.83203125" customWidth="1"/>
  </cols>
  <sheetData>
    <row r="1" spans="1:2" x14ac:dyDescent="0.2">
      <c r="A1" s="2" t="s">
        <v>21</v>
      </c>
      <c r="B1" s="2" t="s">
        <v>22</v>
      </c>
    </row>
    <row r="2" spans="1:2" x14ac:dyDescent="0.2">
      <c r="A2" t="s">
        <v>23</v>
      </c>
      <c r="B2">
        <v>0.87</v>
      </c>
    </row>
    <row r="3" spans="1:2" x14ac:dyDescent="0.2">
      <c r="A3" t="s">
        <v>24</v>
      </c>
      <c r="B3">
        <v>0.5</v>
      </c>
    </row>
    <row r="4" spans="1:2" x14ac:dyDescent="0.2">
      <c r="A4" t="s">
        <v>25</v>
      </c>
      <c r="B4">
        <v>0.7</v>
      </c>
    </row>
    <row r="5" spans="1:2" x14ac:dyDescent="0.2">
      <c r="A5" t="s">
        <v>26</v>
      </c>
      <c r="B5">
        <v>0.7</v>
      </c>
    </row>
    <row r="6" spans="1:2" x14ac:dyDescent="0.2">
      <c r="A6" t="s">
        <v>27</v>
      </c>
      <c r="B6">
        <v>0.85</v>
      </c>
    </row>
    <row r="7" spans="1:2" x14ac:dyDescent="0.2">
      <c r="A7" t="s">
        <v>28</v>
      </c>
      <c r="B7">
        <v>0.85</v>
      </c>
    </row>
    <row r="8" spans="1:2" x14ac:dyDescent="0.2">
      <c r="A8" t="s">
        <v>29</v>
      </c>
      <c r="B8">
        <v>0.95</v>
      </c>
    </row>
    <row r="9" spans="1:2" x14ac:dyDescent="0.2">
      <c r="A9" t="s">
        <v>30</v>
      </c>
      <c r="B9">
        <v>0.5</v>
      </c>
    </row>
    <row r="10" spans="1:2" x14ac:dyDescent="0.2">
      <c r="A10" t="s">
        <v>31</v>
      </c>
      <c r="B10">
        <v>0.7</v>
      </c>
    </row>
    <row r="11" spans="1:2" x14ac:dyDescent="0.2">
      <c r="A11" t="s">
        <v>32</v>
      </c>
      <c r="B11">
        <v>0.7</v>
      </c>
    </row>
    <row r="12" spans="1:2" x14ac:dyDescent="0.2">
      <c r="A12" t="s">
        <v>33</v>
      </c>
      <c r="B12">
        <v>0.85</v>
      </c>
    </row>
    <row r="13" spans="1:2" x14ac:dyDescent="0.2">
      <c r="A13" t="s">
        <v>34</v>
      </c>
      <c r="B13">
        <v>0.85</v>
      </c>
    </row>
    <row r="14" spans="1:2" x14ac:dyDescent="0.2">
      <c r="A14" t="s">
        <v>35</v>
      </c>
      <c r="B14">
        <v>0.95</v>
      </c>
    </row>
    <row r="15" spans="1:2" x14ac:dyDescent="0.2">
      <c r="A15" t="s">
        <v>36</v>
      </c>
      <c r="B15">
        <v>0.7</v>
      </c>
    </row>
    <row r="16" spans="1:2" x14ac:dyDescent="0.2">
      <c r="A16" t="s">
        <v>37</v>
      </c>
      <c r="B16">
        <v>0.85</v>
      </c>
    </row>
    <row r="17" spans="1:2" x14ac:dyDescent="0.2">
      <c r="A17" t="s">
        <v>38</v>
      </c>
      <c r="B17">
        <v>0.85</v>
      </c>
    </row>
    <row r="18" spans="1:2" x14ac:dyDescent="0.2">
      <c r="A18" t="s">
        <v>39</v>
      </c>
      <c r="B18">
        <v>0.9</v>
      </c>
    </row>
    <row r="19" spans="1:2" x14ac:dyDescent="0.2">
      <c r="A19" t="s">
        <v>40</v>
      </c>
      <c r="B19">
        <v>0.9</v>
      </c>
    </row>
    <row r="20" spans="1:2" x14ac:dyDescent="0.2">
      <c r="A20" t="s">
        <v>41</v>
      </c>
      <c r="B20">
        <v>0.95</v>
      </c>
    </row>
    <row r="21" spans="1:2" x14ac:dyDescent="0.2">
      <c r="A21" t="s">
        <v>42</v>
      </c>
      <c r="B21">
        <v>0.95</v>
      </c>
    </row>
    <row r="22" spans="1:2" x14ac:dyDescent="0.2">
      <c r="A22" t="s">
        <v>43</v>
      </c>
      <c r="B22">
        <v>1.05</v>
      </c>
    </row>
    <row r="23" spans="1:2" x14ac:dyDescent="0.2">
      <c r="A23" t="s">
        <v>44</v>
      </c>
      <c r="B23">
        <v>0</v>
      </c>
    </row>
    <row r="24" spans="1:2" x14ac:dyDescent="0.2">
      <c r="A24" t="s">
        <v>45</v>
      </c>
      <c r="B24">
        <v>0.1</v>
      </c>
    </row>
    <row r="25" spans="1:2" x14ac:dyDescent="0.2">
      <c r="A25" t="s">
        <v>46</v>
      </c>
      <c r="B25">
        <v>0.05</v>
      </c>
    </row>
    <row r="26" spans="1:2" x14ac:dyDescent="0.2">
      <c r="A26" t="s">
        <v>47</v>
      </c>
      <c r="B26">
        <v>0.15</v>
      </c>
    </row>
    <row r="27" spans="1:2" x14ac:dyDescent="0.2">
      <c r="A27" t="s">
        <v>48</v>
      </c>
      <c r="B27">
        <v>0.1</v>
      </c>
    </row>
    <row r="28" spans="1:2" x14ac:dyDescent="0.2">
      <c r="A28" t="s">
        <v>49</v>
      </c>
      <c r="B28">
        <v>0.2</v>
      </c>
    </row>
    <row r="29" spans="1:2" x14ac:dyDescent="0.2">
      <c r="A29" t="s">
        <v>50</v>
      </c>
      <c r="B29">
        <v>0.2</v>
      </c>
    </row>
    <row r="30" spans="1:2" x14ac:dyDescent="0.2">
      <c r="A30" t="s">
        <v>51</v>
      </c>
      <c r="B30">
        <v>0.4</v>
      </c>
    </row>
  </sheetData>
  <sheetProtection algorithmName="SHA-512" hashValue="U4UQ1khDAn2Ai4I6hQqTlcXeHv1B8BHzi7j7eHqEXhWbjnF/fVacdqDeUoGkbYJ5pkEHoVQ/Sk8Iw/v60EJVGg==" saltValue="SPSdZEy1ELOoPxLaHzoU/Q==" spinCount="100000" sheet="1" objects="1" scenarios="1" selectLockedCells="1" selectUn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3"/>
  <sheetViews>
    <sheetView zoomScale="141" zoomScaleNormal="141" workbookViewId="0">
      <selection activeCell="F32" sqref="F32"/>
    </sheetView>
  </sheetViews>
  <sheetFormatPr baseColWidth="10" defaultColWidth="8.83203125" defaultRowHeight="15" x14ac:dyDescent="0.2"/>
  <cols>
    <col min="1" max="1" width="42.33203125" customWidth="1"/>
    <col min="2" max="2" width="14.5" customWidth="1"/>
  </cols>
  <sheetData>
    <row r="1" spans="1:2" x14ac:dyDescent="0.2">
      <c r="A1" t="s">
        <v>83</v>
      </c>
      <c r="B1">
        <f>IF(TRIM(Dashboard!$B$6)="","",
   8.5 + 0.5*(VALUE(Dashboard!$B$6)-1)
)</f>
        <v>12.5</v>
      </c>
    </row>
    <row r="2" spans="1:2" x14ac:dyDescent="0.2">
      <c r="A2" t="s">
        <v>84</v>
      </c>
      <c r="B2">
        <f>IF(TRIM(Dashboard!$B$7)&lt;&gt;"",
     VALUE(Dashboard!$B$7),
     IF(TRIM(Dashboard!$B$6)="","",
        8.5 + 0.5*(VALUE(Dashboard!$B$6)-1)
     )
)</f>
        <v>12.5</v>
      </c>
    </row>
    <row r="3" spans="1:2" x14ac:dyDescent="0.2">
      <c r="A3" t="s">
        <v>85</v>
      </c>
      <c r="B3">
        <f>IF(Dashboard!$B$9&lt;&gt;"", Dashboard!$B$9, 'Do Not Touch - Settings'!$B$2)</f>
        <v>0.87</v>
      </c>
    </row>
    <row r="4" spans="1:2" x14ac:dyDescent="0.2">
      <c r="A4" t="s">
        <v>86</v>
      </c>
      <c r="B4">
        <f>IF(Mile_Time="","",IF(ISNUMBER(Mile_Time),IF(HOUR(Mile_Time)&gt;=1, HOUR(Mile_Time)*60 + MINUTE(Mile_Time), MINUTE(Mile_Time)*60 + SECOND(Mile_Time)),IFERROR(LEFT(Mile_Time,FIND(":",Mile_Time)-1)*60 + VALUE(RIGHT(Mile_Time,LEN(Mile_Time)-FIND(":",Mile_Time))),"")))</f>
        <v>450</v>
      </c>
    </row>
    <row r="5" spans="1:2" x14ac:dyDescent="0.2">
      <c r="A5" t="s">
        <v>87</v>
      </c>
      <c r="B5">
        <f>IF(Mile_Time="","",IF(ISNUMBER(Mile_Time),IF(HOUR(Mile_Time)&gt;=1, HOUR(Mile_Time) + MINUTE(Mile_Time)/60, MINUTE(Mile_Time) + SECOND(Mile_Time)/60),IFERROR(LEFT(Mile_Time,FIND(":",Mile_Time)-1) + VALUE(RIGHT(Mile_Time,LEN(Mile_Time)-FIND(":",Mile_Time)))/60,"")))</f>
        <v>7.5</v>
      </c>
    </row>
    <row r="6" spans="1:2" x14ac:dyDescent="0.2">
      <c r="A6" t="s">
        <v>88</v>
      </c>
      <c r="B6">
        <f>IF(TRIM(SUBSTITUTE(Dashboard!$B$3,CHAR(160),""))="","",IF(IFERROR(SEARCH("UMTT",SUBSTITUTE(TRIM(Dashboard!$B$3),CHAR(160),"")),0),VALUE(Dashboard!$B$5),IF(IFERROR(SEARCH("20-m Shuttle",SUBSTITUTE(TRIM(Dashboard!$B$3),CHAR(160),"")),0),IF(TRIM(Dashboard!$B$7)&lt;&gt;"",VALUE(Dashboard!$B$7),IF(TRIM(Dashboard!$B$6)="","",8.5+0.5*(VALUE(Dashboard!$B$6)-1))),IF(IFERROR(SEARCH("30-15",SUBSTITUTE(TRIM(Dashboard!$B$3),CHAR(160),"")),0),IF(TRIM(Dashboard!$B$8)&lt;&gt;"",VALUE(Dashboard!$B$8)*IF(TRIM(Dashboard!$B$9)&lt;&gt;"",VALUE(Dashboard!$B$9),'Do Not Touch - Settings'!$B$6),""),IF(IFERROR(SEARCH("1-mile",SUBSTITUTE(TRIM(Dashboard!$B$3),CHAR(160),"")),0),IF(IF(ISNUMBER(Dashboard!$B$10),IF(HOUR(Dashboard!$B$10)&gt;=1,HOUR(Dashboard!$B$10)*60+MINUTE(Dashboard!$B$10),MINUTE(Dashboard!$B$10)*60+SECOND(Dashboard!$B$10)),LEFT(Dashboard!$B$10,FIND(":",Dashboard!$B$10)-1)*60+VALUE(RIGHT(Dashboard!$B$10,LEN(Dashboard!$B$10)-FIND(":",Dashboard!$B$10))))&gt;0,(1609/IF(ISNUMBER(Dashboard!$B$10),IF(HOUR(Dashboard!$B$10)&gt;=1,HOUR(Dashboard!$B$10)*60+MINUTE(Dashboard!$B$10),MINUTE(Dashboard!$B$10)*60+SECOND(Dashboard!$B$10)),LEFT(Dashboard!$B$10,FIND(":",Dashboard!$B$10)-1)*60+VALUE(RIGHT(Dashboard!$B$10,LEN(Dashboard!$B$10)-FIND(":",Dashboard!$B$10)))))*3.6,""),"")))))</f>
        <v>12.872</v>
      </c>
    </row>
    <row r="7" spans="1:2" x14ac:dyDescent="0.2">
      <c r="A7" t="s">
        <v>89</v>
      </c>
      <c r="B7" s="5">
        <f>IF(MASkmh&lt;&gt;"", MASkmh/3.6, "")</f>
        <v>3.5755555555555554</v>
      </c>
    </row>
    <row r="8" spans="1:2" x14ac:dyDescent="0.2">
      <c r="A8" t="s">
        <v>90</v>
      </c>
      <c r="B8" s="5">
        <f>IF(MASkmh&lt;&gt;"", MASkmh*0.621371, "")</f>
        <v>7.9982875120000001</v>
      </c>
    </row>
    <row r="9" spans="1:2" x14ac:dyDescent="0.2">
      <c r="A9" t="s">
        <v>91</v>
      </c>
      <c r="B9">
        <f>220 - AgeY</f>
        <v>185</v>
      </c>
    </row>
    <row r="10" spans="1:2" x14ac:dyDescent="0.2">
      <c r="A10" t="s">
        <v>92</v>
      </c>
      <c r="B10">
        <f>IF(HRmax&lt;&gt;"", HRmax - RestHR, "")</f>
        <v>127</v>
      </c>
    </row>
    <row r="11" spans="1:2" x14ac:dyDescent="0.2">
      <c r="A11" t="s">
        <v>93</v>
      </c>
      <c r="B11">
        <f>ROUND(HRmax*HRM_A_L,0)</f>
        <v>93</v>
      </c>
    </row>
    <row r="12" spans="1:2" x14ac:dyDescent="0.2">
      <c r="A12" t="s">
        <v>94</v>
      </c>
      <c r="B12">
        <f>ROUND(HRmax*HRM_A_H,0)</f>
        <v>130</v>
      </c>
    </row>
    <row r="13" spans="1:2" x14ac:dyDescent="0.2">
      <c r="A13" t="s">
        <v>95</v>
      </c>
      <c r="B13">
        <f>ROUND(HRmax*HRM_T_L,0)</f>
        <v>130</v>
      </c>
    </row>
    <row r="14" spans="1:2" x14ac:dyDescent="0.2">
      <c r="A14" t="s">
        <v>96</v>
      </c>
      <c r="B14">
        <f>ROUND(HRmax*HRM_T_H,0)</f>
        <v>157</v>
      </c>
    </row>
    <row r="15" spans="1:2" x14ac:dyDescent="0.2">
      <c r="A15" t="s">
        <v>97</v>
      </c>
      <c r="B15">
        <f>ROUND(HRmax*HRM_V_L,0)</f>
        <v>157</v>
      </c>
    </row>
    <row r="16" spans="1:2" x14ac:dyDescent="0.2">
      <c r="A16" t="s">
        <v>98</v>
      </c>
      <c r="B16">
        <f>HRmax</f>
        <v>185</v>
      </c>
    </row>
    <row r="17" spans="1:2" x14ac:dyDescent="0.2">
      <c r="A17" t="s">
        <v>99</v>
      </c>
      <c r="B17">
        <f>ROUND(RestHR + HRR*HRR_A_L,0)</f>
        <v>122</v>
      </c>
    </row>
    <row r="18" spans="1:2" x14ac:dyDescent="0.2">
      <c r="A18" t="s">
        <v>100</v>
      </c>
      <c r="B18">
        <f>ROUND(RestHR + HRR*HRR_A_H,0)</f>
        <v>147</v>
      </c>
    </row>
    <row r="19" spans="1:2" x14ac:dyDescent="0.2">
      <c r="A19" t="s">
        <v>101</v>
      </c>
      <c r="B19">
        <f>ROUND(RestHR + HRR*HRR_T_L,0)</f>
        <v>147</v>
      </c>
    </row>
    <row r="20" spans="1:2" x14ac:dyDescent="0.2">
      <c r="A20" t="s">
        <v>102</v>
      </c>
      <c r="B20">
        <f>ROUND(RestHR + HRR*HRR_T_H,0)</f>
        <v>166</v>
      </c>
    </row>
    <row r="21" spans="1:2" x14ac:dyDescent="0.2">
      <c r="A21" t="s">
        <v>103</v>
      </c>
      <c r="B21">
        <f>ROUND(RestHR + HRR*HRR_V_L,0)</f>
        <v>166</v>
      </c>
    </row>
    <row r="22" spans="1:2" x14ac:dyDescent="0.2">
      <c r="A22" t="s">
        <v>104</v>
      </c>
      <c r="B22">
        <f>HRmax</f>
        <v>185</v>
      </c>
    </row>
    <row r="23" spans="1:2" x14ac:dyDescent="0.2">
      <c r="A23" t="s">
        <v>123</v>
      </c>
      <c r="B23" s="5">
        <f>IF(Sprint20&gt;0,(20/Sprint20)*3.6,"")</f>
        <v>28.8</v>
      </c>
    </row>
    <row r="24" spans="1:2" x14ac:dyDescent="0.2">
      <c r="A24" t="s">
        <v>124</v>
      </c>
      <c r="B24" s="5">
        <f>IF('Do Not Touch - Backend'!$B$23&lt;&gt;"",'Do Not Touch - Backend'!$B$23*0.621371,"")</f>
        <v>17.895484800000002</v>
      </c>
    </row>
    <row r="25" spans="1:2" x14ac:dyDescent="0.2">
      <c r="A25" t="s">
        <v>125</v>
      </c>
      <c r="B25" s="5">
        <f>IF('Do Not Touch - Backend'!$B$23&lt;&gt;"",'Do Not Touch - Backend'!$B$23/3.6,"")</f>
        <v>8</v>
      </c>
    </row>
    <row r="26" spans="1:2" x14ac:dyDescent="0.2">
      <c r="A26" t="s">
        <v>126</v>
      </c>
      <c r="B26" s="6">
        <f>IF(AND('Do Not Touch - Backend'!$B$23&lt;&gt;"",'Do Not Touch - Backend'!$B$6&lt;&gt;""),'Do Not Touch - Backend'!$B$23-'Do Not Touch - Backend'!$B$6,"")</f>
        <v>15.928000000000001</v>
      </c>
    </row>
    <row r="27" spans="1:2" x14ac:dyDescent="0.2">
      <c r="A27" t="s">
        <v>127</v>
      </c>
      <c r="B27" s="6">
        <f>IF(AND('Do Not Touch - Backend'!$B$24&lt;&gt;"",'Do Not Touch - Backend'!$B$8&lt;&gt;""),'Do Not Touch - Backend'!$B$24-'Do Not Touch - Backend'!$B$8,"")</f>
        <v>9.897197288000001</v>
      </c>
    </row>
    <row r="28" spans="1:2" x14ac:dyDescent="0.2">
      <c r="A28" t="s">
        <v>128</v>
      </c>
      <c r="B28" s="6">
        <f>IF(AND('Do Not Touch - Backend'!$B$25&lt;&gt;"",'Do Not Touch - Backend'!$B$7&lt;&gt;""),'Do Not Touch - Backend'!$B$25-'Do Not Touch - Backend'!$B$7,"")</f>
        <v>4.4244444444444451</v>
      </c>
    </row>
    <row r="31" spans="1:2" x14ac:dyDescent="0.2">
      <c r="A31" t="s">
        <v>105</v>
      </c>
      <c r="B31">
        <f>IF(DashCategory="Capacity", MAS_CAP_L, IF(DashCategory="Tempo Long Intervals", MAS_TL_L, IF(DashCategory="Tempo Short Intervals", MAS_TS_L, MAS_VO2_L)))</f>
        <v>0.9</v>
      </c>
    </row>
    <row r="32" spans="1:2" x14ac:dyDescent="0.2">
      <c r="A32" t="s">
        <v>106</v>
      </c>
      <c r="B32">
        <f>IF(DashCategory="Capacity", MAS_CAP_H, IF(DashCategory="Tempo Long Intervals", MAS_TL_H, IF(DashCategory="Tempo Short Intervals", MAS_TS_H, MAS_VO2_H)))</f>
        <v>0.95</v>
      </c>
    </row>
    <row r="33" spans="1:2" x14ac:dyDescent="0.2">
      <c r="A33" t="s">
        <v>107</v>
      </c>
      <c r="B33">
        <f>IF(DashCategory="Capacity", ASR_CAP_L, IF(DashCategory="Tempo Long Intervals", ASR_TL_L, IF(DashCategory="Tempo Short Intervals", ASR_TS_L, ASR_VO2_L)))</f>
        <v>0.1</v>
      </c>
    </row>
    <row r="34" spans="1:2" x14ac:dyDescent="0.2">
      <c r="A34" t="s">
        <v>108</v>
      </c>
      <c r="B34">
        <f>IF(DashCategory="Capacity", ASR_CAP_H, IF(DashCategory="Tempo Long Intervals", ASR_TL_H, IF(DashCategory="Tempo Short Intervals", ASR_TS_H, ASR_VO2_H)))</f>
        <v>0.2</v>
      </c>
    </row>
    <row r="35" spans="1:2" x14ac:dyDescent="0.2">
      <c r="A35" t="s">
        <v>109</v>
      </c>
      <c r="B35" s="5">
        <f>IF(
  ISNUMBER(SEARCH("MAS",SUBSTITUTE(TRIM(Dashboard!$B$17),CHAR(160)," "))),
  'Do Not Touch - Backend'!$B$6 * 'Do Not Touch - Backend'!$B$31,
  IF(
    ISNUMBER(SEARCH("ASR",SUBSTITUTE(TRIM(Dashboard!$B$17),CHAR(160)," "))),
    'Do Not Touch - Backend'!$B$6 + ('Do Not Touch - Backend'!$B$23 - 'Do Not Touch - Backend'!$B$6) * 'Do Not Touch - Backend'!$B$33,
    ""
  )
)</f>
        <v>14.4648</v>
      </c>
    </row>
    <row r="36" spans="1:2" x14ac:dyDescent="0.2">
      <c r="A36" t="s">
        <v>110</v>
      </c>
      <c r="B36" s="5">
        <f>IF(
  ISNUMBER(SEARCH("MAS",SUBSTITUTE(TRIM(Dashboard!$B$17),CHAR(160)," "))),
  'Do Not Touch - Backend'!$B$6 * 'Do Not Touch - Backend'!$B$32,
  IF(
    ISNUMBER(SEARCH("ASR",SUBSTITUTE(TRIM(Dashboard!$B$17),CHAR(160)," "))),
    'Do Not Touch - Backend'!$B$6 + ('Do Not Touch - Backend'!$B$23 - 'Do Not Touch - Backend'!$B$6) * 'Do Not Touch - Backend'!$B$34,
    ""
  )
)</f>
        <v>16.057600000000001</v>
      </c>
    </row>
    <row r="37" spans="1:2" x14ac:dyDescent="0.2">
      <c r="A37" t="s">
        <v>111</v>
      </c>
      <c r="B37" s="5">
        <f>IF(
  TRIM(Dashboard!$B$17)="Heart Rate",
  "",
  IF('Do Not Touch - Backend'!$B$35&lt;&gt;"",
     'Do Not Touch - Backend'!$B$35 * 0.621371,
     ""
  )
)</f>
        <v>8.9880072408</v>
      </c>
    </row>
    <row r="38" spans="1:2" x14ac:dyDescent="0.2">
      <c r="A38" t="s">
        <v>112</v>
      </c>
      <c r="B38" s="5">
        <f>IF(
  TRIM(Dashboard!$B$17)="Heart Rate",
  "",
  IF('Do Not Touch - Backend'!$B$36&lt;&gt;"",
     'Do Not Touch - Backend'!$B$36 * 0.621371,
     ""
  )
)</f>
        <v>9.9777269696000008</v>
      </c>
    </row>
    <row r="39" spans="1:2" x14ac:dyDescent="0.2">
      <c r="A39" t="s">
        <v>113</v>
      </c>
      <c r="B39" s="5">
        <f>IF(
  TRIM(Dashboard!$B$17)="Heart Rate",
  "",
  IF('Do Not Touch - Backend'!$B$35&lt;&gt;"",
     'Do Not Touch - Backend'!$B$35 / 3.6,
     ""
  )
)</f>
        <v>4.0179999999999998</v>
      </c>
    </row>
    <row r="40" spans="1:2" x14ac:dyDescent="0.2">
      <c r="A40" t="s">
        <v>114</v>
      </c>
      <c r="B40" s="5">
        <f>IF(
  TRIM(Dashboard!$B$17)="Heart Rate",
  "",
  IF('Do Not Touch - Backend'!$B$36&lt;&gt;"",
     'Do Not Touch - Backend'!$B$36 / 3.6,
     ""
  )
)</f>
        <v>4.4604444444444447</v>
      </c>
    </row>
    <row r="41" spans="1:2" x14ac:dyDescent="0.2">
      <c r="A41" t="s">
        <v>115</v>
      </c>
      <c r="B41" t="str">
        <f>IF(
  TRIM(Dashboard!$B$17) &lt;&gt; "Heart Rate",
  "",
  IF(
    ISNUMBER(SEARCH("HRmax",SUBSTITUTE(TRIM(Dashboard!$B$15),CHAR(160)," "))),
    IF(Dashboard!$B$18="Capacity", 'Do Not Touch - Backend'!$B$11,
       IF(OR(Dashboard!$B$18="Tempo Long Intervals", Dashboard!$B$18="Tempo Short Intervals"), 'Do Not Touch - Backend'!$B$13, 'Do Not Touch - Backend'!$B$15)
    ),
    IF(Dashboard!$B$18="Capacity", 'Do Not Touch - Backend'!$B$17,
       IF(OR(Dashboard!$B$18="Tempo Long Intervals", Dashboard!$B$18="Tempo Short Intervals"), 'Do Not Touch - Backend'!$B$19, 'Do Not Touch - Backend'!$B$21)
    )
  )
)</f>
        <v/>
      </c>
    </row>
    <row r="42" spans="1:2" x14ac:dyDescent="0.2">
      <c r="A42" t="s">
        <v>116</v>
      </c>
      <c r="B42" t="str">
        <f>IF(
  TRIM(Dashboard!$B$17) &lt;&gt; "Heart Rate",
  "",
  IF(
    ISNUMBER(SEARCH("HRmax",SUBSTITUTE(TRIM(Dashboard!$B$15),CHAR(160)," "))),
    IF(Dashboard!$B$18="Capacity", 'Do Not Touch - Backend'!$B$12,
       IF(OR(Dashboard!$B$18="Tempo Long Intervals", Dashboard!$B$18="Tempo Short Intervals"), 'Do Not Touch - Backend'!$B$14, 'Do Not Touch - Backend'!$B$16)
    ),
    IF(Dashboard!$B$18="Capacity", 'Do Not Touch - Backend'!$B$18,
       IF(OR(Dashboard!$B$18="Tempo Long Intervals", Dashboard!$B$18="Tempo Short Intervals"), 'Do Not Touch - Backend'!$B$20, 'Do Not Touch - Backend'!$B$22)
    )
  )
)</f>
        <v/>
      </c>
    </row>
    <row r="61" spans="1:2" x14ac:dyDescent="0.2">
      <c r="A61" t="s">
        <v>117</v>
      </c>
      <c r="B61" t="str">
        <f>IF(DashCategory="Capacity","30 – 45 min continuous",IF(DashCategory="Tempo Long Intervals","3 × 10 min (3 min easy)",IF(DashCategory="Tempo Short Intervals","6×3 min (2 min easy)","2×(10×30:30) (3 min easy)")))</f>
        <v>6×3 min (2 min easy)</v>
      </c>
    </row>
    <row r="62" spans="1:2" x14ac:dyDescent="0.2">
      <c r="A62" t="s">
        <v>118</v>
      </c>
      <c r="B62" t="str">
        <f>IF(DashCategory="Capacity","40 min @ HR Z1 – Z2",IF(DashCategory="Tempo Long Intervals","2 × 15 min (4 min easy)",IF(DashCategory="Tempo Short Intervals","10×2 min (90 s easy)","8×2 min (2 min easy)")))</f>
        <v>10×2 min (90 s easy)</v>
      </c>
    </row>
    <row r="63" spans="1:2" x14ac:dyDescent="0.2">
      <c r="A63" t="s">
        <v>119</v>
      </c>
      <c r="B63" t="str">
        <f>IF(DashCategory="Capacity","Run-walk 4:1 × 30 – 40 min",IF(DashCategory="Tempo Long Intervals","20 – 30 min steady",IF(DashCategory="Tempo Short Intervals","12×90 s (90 s easy)","5×3 min (2 min easy)")))</f>
        <v>12×90 s (90 s easy)</v>
      </c>
    </row>
  </sheetData>
  <sheetProtection algorithmName="SHA-512" hashValue="FFc3Ztj89Kh8tR32EcHDkA3Qy2R7zqBPmhxJoYCzqpuJ85AT6WvWl6pjGxmH8kIa44FTOkNeLHW5c8Sbyh0uGA==" saltValue="j1t07tkGgRMOrSn1M1qNVw=="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53</vt:i4>
      </vt:variant>
    </vt:vector>
  </HeadingPairs>
  <TitlesOfParts>
    <vt:vector size="61" baseType="lpstr">
      <vt:lpstr>Welcome</vt:lpstr>
      <vt:lpstr>Dashboard</vt:lpstr>
      <vt:lpstr>Heart Rate Zones</vt:lpstr>
      <vt:lpstr>30IFT Setup</vt:lpstr>
      <vt:lpstr>Beep Test Setup</vt:lpstr>
      <vt:lpstr>Calculations Explained</vt:lpstr>
      <vt:lpstr>Do Not Touch - Settings</vt:lpstr>
      <vt:lpstr>Do Not Touch - Backend</vt:lpstr>
      <vt:lpstr>AgeY</vt:lpstr>
      <vt:lpstr>ApplyProg</vt:lpstr>
      <vt:lpstr>ASR_CAP_H</vt:lpstr>
      <vt:lpstr>ASR_CAP_L</vt:lpstr>
      <vt:lpstr>ASR_TL_H</vt:lpstr>
      <vt:lpstr>ASR_TL_L</vt:lpstr>
      <vt:lpstr>ASR_TS_H</vt:lpstr>
      <vt:lpstr>ASR_TS_L</vt:lpstr>
      <vt:lpstr>ASR_VO2_H</vt:lpstr>
      <vt:lpstr>ASR_VO2_L</vt:lpstr>
      <vt:lpstr>Beep_Speed</vt:lpstr>
      <vt:lpstr>Beep_Speed_Eff</vt:lpstr>
      <vt:lpstr>Beep_Speed_FromStage</vt:lpstr>
      <vt:lpstr>Beep_Stage</vt:lpstr>
      <vt:lpstr>DashCategory</vt:lpstr>
      <vt:lpstr>DashTest</vt:lpstr>
      <vt:lpstr>HRM_A_H</vt:lpstr>
      <vt:lpstr>HRM_A_L</vt:lpstr>
      <vt:lpstr>HRM_T_H</vt:lpstr>
      <vt:lpstr>HRM_T_L</vt:lpstr>
      <vt:lpstr>HRM_V_H</vt:lpstr>
      <vt:lpstr>HRM_V_L</vt:lpstr>
      <vt:lpstr>HRmax</vt:lpstr>
      <vt:lpstr>HRMethod</vt:lpstr>
      <vt:lpstr>HRR</vt:lpstr>
      <vt:lpstr>HRR_A_H</vt:lpstr>
      <vt:lpstr>HRR_A_L</vt:lpstr>
      <vt:lpstr>HRR_T_H</vt:lpstr>
      <vt:lpstr>HRR_T_L</vt:lpstr>
      <vt:lpstr>HRR_V_H</vt:lpstr>
      <vt:lpstr>HRR_V_L</vt:lpstr>
      <vt:lpstr>IFT_Factor_In</vt:lpstr>
      <vt:lpstr>MAS_CAP_H</vt:lpstr>
      <vt:lpstr>MAS_CAP_L</vt:lpstr>
      <vt:lpstr>MAS_TL_H</vt:lpstr>
      <vt:lpstr>MAS_TL_L</vt:lpstr>
      <vt:lpstr>MAS_TS_H</vt:lpstr>
      <vt:lpstr>MAS_TS_L</vt:lpstr>
      <vt:lpstr>MAS_VO2_H</vt:lpstr>
      <vt:lpstr>MAS_VO2_L</vt:lpstr>
      <vt:lpstr>MASFactor</vt:lpstr>
      <vt:lpstr>MASFactorDefault</vt:lpstr>
      <vt:lpstr>MASkmh</vt:lpstr>
      <vt:lpstr>MASmph</vt:lpstr>
      <vt:lpstr>MASms</vt:lpstr>
      <vt:lpstr>Mile_Time</vt:lpstr>
      <vt:lpstr>MileMin</vt:lpstr>
      <vt:lpstr>MileSec</vt:lpstr>
      <vt:lpstr>Welcome!Print_Area</vt:lpstr>
      <vt:lpstr>RestHR</vt:lpstr>
      <vt:lpstr>Sprint20</vt:lpstr>
      <vt:lpstr>TrainMethod</vt:lpstr>
      <vt:lpstr>UMTT_Speed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Adam Loiacono</cp:lastModifiedBy>
  <dcterms:created xsi:type="dcterms:W3CDTF">2025-10-30T23:05:12Z</dcterms:created>
  <dcterms:modified xsi:type="dcterms:W3CDTF">2026-03-11T18:18:43Z</dcterms:modified>
</cp:coreProperties>
</file>